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55" windowHeight="9210" activeTab="6"/>
  </bookViews>
  <sheets>
    <sheet name="Додаток 1" sheetId="1" r:id="rId1"/>
    <sheet name="додаток 2" sheetId="2" r:id="rId2"/>
    <sheet name="додаток 3" sheetId="3" r:id="rId3"/>
    <sheet name="додаток 3-1" sheetId="4" r:id="rId4"/>
    <sheet name="додаток 4" sheetId="5" r:id="rId5"/>
    <sheet name="додаток 5" sheetId="6" r:id="rId6"/>
    <sheet name="додаток 6" sheetId="7" r:id="rId7"/>
  </sheets>
  <definedNames>
    <definedName name="_xlnm.Print_Titles" localSheetId="1">'додаток 2'!$14:$14</definedName>
    <definedName name="_xlnm.Print_Titles" localSheetId="2">'додаток 3'!$14:$14</definedName>
    <definedName name="_xlnm.Print_Titles" localSheetId="3">'додаток 3-1'!$13:$13</definedName>
    <definedName name="_xlnm.Print_Area" localSheetId="4">'додаток 4'!$A$1:$F$21</definedName>
    <definedName name="_xlnm.Print_Area" localSheetId="5">'додаток 5'!$A$1:$G$19</definedName>
    <definedName name="_xlnm.Print_Area" localSheetId="6">'додаток 6'!$A$1:$G$42</definedName>
  </definedNames>
  <calcPr fullCalcOnLoad="1"/>
</workbook>
</file>

<file path=xl/sharedStrings.xml><?xml version="1.0" encoding="utf-8"?>
<sst xmlns="http://schemas.openxmlformats.org/spreadsheetml/2006/main" count="608" uniqueCount="317">
  <si>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</si>
  <si>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</si>
  <si>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</si>
  <si>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</si>
  <si>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</si>
  <si>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</si>
  <si>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</si>
  <si>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</si>
  <si>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</si>
  <si>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</si>
  <si>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</si>
  <si>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</si>
  <si>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</si>
  <si>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</si>
  <si>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Загальний фонд</t>
  </si>
  <si>
    <t>Спеціальний фонд</t>
  </si>
  <si>
    <t>Назва головного розпорядника коштів</t>
  </si>
  <si>
    <t>РАЗОМ</t>
  </si>
  <si>
    <t>Код</t>
  </si>
  <si>
    <t>Назва</t>
  </si>
  <si>
    <t>Код типової відомчої класифікації видатків місцевих бюджетів</t>
  </si>
  <si>
    <t>Код відомчої класифікації видатків місцевих бюджетів</t>
  </si>
  <si>
    <t>Назва об'эктів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</si>
  <si>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</si>
  <si>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</si>
  <si>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</si>
  <si>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</si>
  <si>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Найменування програми</t>
  </si>
  <si>
    <t>Сума</t>
  </si>
  <si>
    <t>Додаток 2</t>
  </si>
  <si>
    <t>до рішення районної</t>
  </si>
  <si>
    <t xml:space="preserve"> </t>
  </si>
  <si>
    <t>грн.</t>
  </si>
  <si>
    <t>010000</t>
  </si>
  <si>
    <t>Державне управління</t>
  </si>
  <si>
    <t>010116</t>
  </si>
  <si>
    <t xml:space="preserve">Органи місцевого самоврядування </t>
  </si>
  <si>
    <t>070000</t>
  </si>
  <si>
    <t>Освіта</t>
  </si>
  <si>
    <t xml:space="preserve">у тому числі за рахунок -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</si>
  <si>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070303</t>
  </si>
  <si>
    <t>Дитячі будинки (в т.ч. сімейного типу, прийомні сім"ї)</t>
  </si>
  <si>
    <t>090000</t>
  </si>
  <si>
    <t>Соціальний захист та соціальне забезпечення</t>
  </si>
  <si>
    <t>з них за рахунок субвенцій з державного бюджету місцевим бюджетам:</t>
  </si>
  <si>
    <t>на виплату допомоги сім"ям з дітьми, малозабезпеченим сім’ям, інвалідам з дитинства, дітям-інвалідам та тимчасової державної допомоги дітям</t>
  </si>
  <si>
    <t>090203</t>
  </si>
  <si>
    <t>090302</t>
  </si>
  <si>
    <t>Допомога у зв"язку з вагітністю і пологами</t>
  </si>
  <si>
    <t>у тому числі за рахунок -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</si>
  <si>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090303</t>
  </si>
  <si>
    <t xml:space="preserve">Допомога на догляд за дитиною віком до 3 років </t>
  </si>
  <si>
    <t>090304</t>
  </si>
  <si>
    <t xml:space="preserve">Допомога при народженні дитини   </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</si>
  <si>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</si>
  <si>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</si>
  <si>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</si>
  <si>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</si>
  <si>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</si>
  <si>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</si>
  <si>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</si>
  <si>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усиновлені дитини</t>
  </si>
  <si>
    <t>090401</t>
  </si>
  <si>
    <t>Державна соціальна допомога малозабезпеченим сім'ям</t>
  </si>
  <si>
    <t>090412</t>
  </si>
  <si>
    <t>Інші видатки на соціальний захист населення</t>
  </si>
  <si>
    <t>090802</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</si>
  <si>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</si>
  <si>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</si>
  <si>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</si>
  <si>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</si>
  <si>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</si>
  <si>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</si>
  <si>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091204</t>
  </si>
  <si>
    <t>091300</t>
  </si>
  <si>
    <t>Державна соціальна допомога інвалідам з дитинства та дітям - інвалідам</t>
  </si>
  <si>
    <t>110000</t>
  </si>
  <si>
    <t>Культура і мистецтво</t>
  </si>
  <si>
    <t>110103</t>
  </si>
  <si>
    <t>Філармонії,музичні колективи і ансамблі та інші мистецькі заклади та заходи</t>
  </si>
  <si>
    <t>130000</t>
  </si>
  <si>
    <t>Фізична культура і спорт</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</si>
  <si>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</si>
  <si>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</si>
  <si>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</si>
  <si>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</si>
  <si>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УСЬОГО ВИДАТКІВ</t>
  </si>
  <si>
    <t>у тому числі за рахунок субвенцій з державного бюджету</t>
  </si>
  <si>
    <t>в місті ради VІ скликання</t>
  </si>
  <si>
    <t>Код типової відомчої класифікації видатків</t>
  </si>
  <si>
    <t>Виконком Довгинцівської  районної в місті ради</t>
  </si>
  <si>
    <t>Органи місцевого самоврядування</t>
  </si>
  <si>
    <t>Управління  праці  та соціального захисту населення виконкому Довгинцівської районної в місті ради</t>
  </si>
  <si>
    <t xml:space="preserve">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</si>
  <si>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Відділ освіти виконкому Довгинцівської районної в місті ради</t>
  </si>
  <si>
    <t>у тому числі за рахунок субвенцій з державного бюджету місцевим бюджетам</t>
  </si>
  <si>
    <t xml:space="preserve">до рішення районної </t>
  </si>
  <si>
    <t xml:space="preserve">Назва головного розпорядника коштів                                       </t>
  </si>
  <si>
    <t>УСЬОГО</t>
  </si>
  <si>
    <t>Спеціальний фонд:</t>
  </si>
  <si>
    <t>разом</t>
  </si>
  <si>
    <t>у т.ч. бюджет розвитку</t>
  </si>
  <si>
    <t>Внутрішнє фінансування</t>
  </si>
  <si>
    <t>На початок періоду</t>
  </si>
  <si>
    <t>На кінець періоду</t>
  </si>
  <si>
    <t>Всього за типом кредитора:</t>
  </si>
  <si>
    <t>Фінансування за активними операціями</t>
  </si>
  <si>
    <t>Всього за типом боргового зобов'язання:</t>
  </si>
  <si>
    <t>Додаток 4</t>
  </si>
  <si>
    <t xml:space="preserve">Капітальні видатки </t>
  </si>
  <si>
    <t>КЕРУЮЧИЙ СПРАВАМИ ВИКОНКОМУ</t>
  </si>
  <si>
    <t>О.О. ГИЖКО</t>
  </si>
  <si>
    <t>Інші програми соціального захисту дітей</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</si>
  <si>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</si>
  <si>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</si>
  <si>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</si>
  <si>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</si>
  <si>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</si>
  <si>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</si>
  <si>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Додаток 1</t>
  </si>
  <si>
    <t>ДОХОДИ</t>
  </si>
  <si>
    <t xml:space="preserve">грн. </t>
  </si>
  <si>
    <t xml:space="preserve">Код </t>
  </si>
  <si>
    <t>Найменування доходів згідно із бюджетною класифікацією</t>
  </si>
  <si>
    <t>ПОДАТКОВІ НАДХОДЖЕННЯ</t>
  </si>
  <si>
    <t>Плата за землю</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</si>
  <si>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</si>
  <si>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</si>
  <si>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</si>
  <si>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</si>
  <si>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Місцеві податки і збори</t>
  </si>
  <si>
    <t>Збір за місця для паркування транспортних засобів</t>
  </si>
  <si>
    <t>Збір за провадження деяких видів підприємницької діяльності</t>
  </si>
  <si>
    <t>18040100 </t>
  </si>
  <si>
    <t>Збір за провадження торговельної діяльності (роздрібна торгівля), сплачений фізичними особами</t>
  </si>
  <si>
    <t>18040200 </t>
  </si>
  <si>
    <t>Збір за провадження торговельної діяльності (роздрібна торгівля), сплачений юридичними особами</t>
  </si>
  <si>
    <t>18040500 </t>
  </si>
  <si>
    <t>Збір за провадження торговельної діяльності (оптова торгівля), сплачений фізичними особами</t>
  </si>
  <si>
    <t>18040600 </t>
  </si>
  <si>
    <t>Збір за провадження торговельної діяльності (ресторанне господарство), сплачений фізичними особами</t>
  </si>
  <si>
    <t>18040700 </t>
  </si>
  <si>
    <t>Збір за провадження торговельної діяльності (оптова торгівля), сплачений юридичними особами</t>
  </si>
  <si>
    <t>18040800 </t>
  </si>
  <si>
    <t>Збір за провадження торговельної діяльності (ресторанне господарство), сплачений юридичними особами</t>
  </si>
  <si>
    <t>18040900 </t>
  </si>
  <si>
    <t>Збір за провадження торговельної діяльності із придбанням пільгового торгового патенту</t>
  </si>
  <si>
    <t>18041000 </t>
  </si>
  <si>
    <t>Збір за провадження торговельної діяльності із придбанням короткотермінового торгового патенту</t>
  </si>
  <si>
    <t>18041300 </t>
  </si>
  <si>
    <t>Збір за провадження діяльності з надання платних послуг, сплачений фізичними особами</t>
  </si>
  <si>
    <t>18041400 </t>
  </si>
  <si>
    <t>Збір за провадження діяльності з надання платних послуг, сплачений юридичними особами</t>
  </si>
  <si>
    <t>18041700 </t>
  </si>
  <si>
    <t>Збір за здійснення діяльності у сфері розваг, сплачений юридичними особами</t>
  </si>
  <si>
    <t>18041800 </t>
  </si>
  <si>
    <t>Збір за здійснення діяльності у сфері розваг, сплачений фізичними особами</t>
  </si>
  <si>
    <t>Збір за видачу ордера на квартиру</t>
  </si>
  <si>
    <t>Збір за видачу дозволу на розміщення об'єктів торгівлі та сфери послуг</t>
  </si>
  <si>
    <t>Збір із власників собак</t>
  </si>
  <si>
    <t>НЕПОДАТКОВІ  НАДХОДЖЕННЯ</t>
  </si>
  <si>
    <t>21000000 </t>
  </si>
  <si>
    <t>Доходи від власності та підприємницької діяльності </t>
  </si>
  <si>
    <t>Інші надходження</t>
  </si>
  <si>
    <t>Адміністративні штрафи та інші санкції</t>
  </si>
  <si>
    <t xml:space="preserve">Власні надходження бюджетних установ </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</si>
  <si>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</si>
  <si>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</si>
  <si>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Плата за оренду майна бюджетних установ</t>
  </si>
  <si>
    <t>ДОХОДИ ВІД ОПЕРАЦІЙ З КАПІТАЛОМ</t>
  </si>
  <si>
    <t>Надходження від продажу основного капіталу</t>
  </si>
  <si>
    <t>31010000 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</si>
  <si>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</si>
  <si>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</si>
  <si>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РАЗОМ ДОХОДІВ</t>
  </si>
  <si>
    <t>ОФІЦІЙНІ ТРАНСФЕРТИ</t>
  </si>
  <si>
    <t>Від органів державного управління</t>
  </si>
  <si>
    <t>Дотації</t>
  </si>
  <si>
    <t>Дотації вирівнювання, що одержуються з районних та міських  (міст Києва і Севастополя, міст республіканського і обласного значення) бюджетів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</si>
  <si>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</si>
  <si>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</si>
  <si>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 xml:space="preserve">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 будинках сiмейного типу та прийомних сiм'ях за принципом "грошi ходять за дитиною"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</si>
  <si>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</si>
  <si>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УСЬОГО ДОХОДІВ</t>
  </si>
  <si>
    <t>КЕРУЮЧИЙ СПРАВАМИ ВИКОНКОМУ                                                                 О.О. ГИЖКО</t>
  </si>
  <si>
    <t>03</t>
  </si>
  <si>
    <t>15</t>
  </si>
  <si>
    <t>10</t>
  </si>
  <si>
    <t>Збір за місця для паркування транспортних засобів, сплачений фізичними особами</t>
  </si>
  <si>
    <t>Збори та плата за спеціальне використання природних ресурсів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</si>
  <si>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</si>
  <si>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</si>
  <si>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у тому числі за рахунок -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</si>
  <si>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у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</si>
  <si>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</si>
  <si>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                    до рішення районної </t>
  </si>
  <si>
    <t xml:space="preserve">                    в місті ради VІ скликання</t>
  </si>
  <si>
    <t>0300000</t>
  </si>
  <si>
    <t>0310000</t>
  </si>
  <si>
    <t>0314030</t>
  </si>
  <si>
    <t>0315010</t>
  </si>
  <si>
    <t>1500000</t>
  </si>
  <si>
    <t>1510000</t>
  </si>
  <si>
    <t>1513030</t>
  </si>
  <si>
    <t>1000000</t>
  </si>
  <si>
    <t>1010000</t>
  </si>
  <si>
    <t>Заходи державної політики з питань дітей та їх соціального захисту</t>
  </si>
  <si>
    <t>Заходи державної політики з питань молоді</t>
  </si>
  <si>
    <t>Заходи державної політики із забезпечення рівних прав та можливостей жінок та чоловіків</t>
  </si>
  <si>
    <t>Заходи державної політики з питань сім'ї</t>
  </si>
  <si>
    <t>Фiлармонiї, музичнi колективи i ансамблі та iншi мистецькі  заклади та заходи</t>
  </si>
  <si>
    <t xml:space="preserve">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</si>
  <si>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</si>
  <si>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</si>
  <si>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</si>
  <si>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</si>
  <si>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</si>
  <si>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</si>
  <si>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</si>
  <si>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</si>
  <si>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</si>
  <si>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Надання державної соціальної допомоги інвалідам з дитинства та дітям-інвалідам </t>
  </si>
  <si>
    <t xml:space="preserve">Забезпечення соціальними послугами за місцем проживання громадян, які не здатні до самообслуговування у зв’язку з похилим віком, хворобою, інвалідністю </t>
  </si>
  <si>
    <t>Забезпечення належних умов для виховання та розвитку дітей - сиріт і дітей, позбавлених батьківського піклування, в дитячих будинках сімейного типу та прийомних сім’ях</t>
  </si>
  <si>
    <t>Додаток 5</t>
  </si>
  <si>
    <t>1513040</t>
  </si>
  <si>
    <t>КПКВК місцевих бюджетів (7 знаків групування: за ГРК, відповідальні виконавці, програма/підпрограма</t>
  </si>
  <si>
    <t>Найменування програми/підпрограми видатків та кредитування місцевих бюджетів</t>
  </si>
  <si>
    <t>КТКВК                місцевих бюджетів</t>
  </si>
  <si>
    <t>0313110</t>
  </si>
  <si>
    <t>Заклади і заходи з питань дітей та їх соціального захисту</t>
  </si>
  <si>
    <t>0313112</t>
  </si>
  <si>
    <t>0313140</t>
  </si>
  <si>
    <t>0313130</t>
  </si>
  <si>
    <t>Здійснення соціальної роботи з вразливими категоріями населення</t>
  </si>
  <si>
    <t>0313133</t>
  </si>
  <si>
    <t>0313134</t>
  </si>
  <si>
    <t>Проведення спортивної роботи в регіоні</t>
  </si>
  <si>
    <t>0315011</t>
  </si>
  <si>
    <t>Проведення навчально - тренувальних зборів і змагань з олімпійських видів спорту</t>
  </si>
  <si>
    <t>1513031</t>
  </si>
  <si>
    <t>1513041</t>
  </si>
  <si>
    <t>1513042</t>
  </si>
  <si>
    <t>1513043</t>
  </si>
  <si>
    <t>1513044</t>
  </si>
  <si>
    <t>1513045</t>
  </si>
  <si>
    <t>1513046</t>
  </si>
  <si>
    <t>1513047</t>
  </si>
  <si>
    <t>1513048</t>
  </si>
  <si>
    <t>1513049</t>
  </si>
  <si>
    <t>1513100</t>
  </si>
  <si>
    <t>Надання соціальних та реабілітаційних послуг громадянам похилого віку, інвалідам, дітям інвалідам в установах соціального обслуговування</t>
  </si>
  <si>
    <t>1513104</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</si>
  <si>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</si>
  <si>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</si>
  <si>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1513181</t>
  </si>
  <si>
    <t>1015020</t>
  </si>
  <si>
    <t>Діяльність закладів фізичної культури і спорту</t>
  </si>
  <si>
    <t>1015022</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</si>
  <si>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</si>
  <si>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Утримання та навчально-тренувальна робота комунальних дитячо-юнацьких спортивних шкіл</t>
  </si>
  <si>
    <t>0313400</t>
  </si>
  <si>
    <t>1513400</t>
  </si>
  <si>
    <t>250000</t>
  </si>
  <si>
    <t>Видатки, не віднесені до основних груп</t>
  </si>
  <si>
    <t>250203</t>
  </si>
  <si>
    <t>Проведення виборів народних депутатів Верховної Ради Автономної Республіки Крим, місцевих рад та сільських, селищних, міських голів</t>
  </si>
  <si>
    <t>Додаток 3</t>
  </si>
  <si>
    <t>Додаток  3.1</t>
  </si>
  <si>
    <t>0318020</t>
  </si>
  <si>
    <t>0318021</t>
  </si>
  <si>
    <t>Проведення виборів та референдумів</t>
  </si>
  <si>
    <t>Інші субвенціїї: субвенція з міського бюджету районному в місті бюджету на проведення проміжних виборів за одномандатним мажоритарним виборчим округом № 7 депутата Довгинцівської районної в місті ради</t>
  </si>
  <si>
    <t>у тому числі за рахунок інших субвенцій: субвенції з міського бюджету районному в місті бюджету на проведення проміжних виборів за одномандатним мажоритарним виборчим округом № 7 депутата Довгинцівської районної в місті ради</t>
  </si>
  <si>
    <t>250404</t>
  </si>
  <si>
    <t>Інші видатки</t>
  </si>
  <si>
    <t>Фінансування послуг щодо відумерлої спадщини</t>
  </si>
  <si>
    <t>150101</t>
  </si>
  <si>
    <t>Капітальні вкладення</t>
  </si>
  <si>
    <t>0318600</t>
  </si>
  <si>
    <t>1516310</t>
  </si>
  <si>
    <t>Реалізація заходів щодо створення зони відпочинку</t>
  </si>
  <si>
    <t>1516300</t>
  </si>
  <si>
    <t>Будівництво</t>
  </si>
  <si>
    <t>150000</t>
  </si>
  <si>
    <t>100000</t>
  </si>
  <si>
    <t>Житлово - комунальне господарство</t>
  </si>
  <si>
    <t>100203</t>
  </si>
  <si>
    <t>Благоустрій міст, сіл, селищ</t>
  </si>
  <si>
    <t>1516060</t>
  </si>
  <si>
    <r>
      <t>Надання допомоги сім</t>
    </r>
    <r>
      <rPr>
        <sz val="13"/>
        <color indexed="8"/>
        <rFont val="Arial Cyr"/>
        <family val="0"/>
      </rPr>
      <t>'</t>
    </r>
    <r>
      <rPr>
        <sz val="13"/>
        <color indexed="8"/>
        <rFont val="Bookman Old Style"/>
        <family val="1"/>
      </rPr>
      <t>ям з дітьми, малозабезпеченим сім'ям, інвалідам з дитинства, дітям - інвалідам та тимчасової допомоги дітям</t>
    </r>
  </si>
  <si>
    <t>районного бюджету на 2014 рік</t>
  </si>
  <si>
    <r>
      <t xml:space="preserve">ВИДАТКИ                                                                                                                                                                                                                                                                                                     </t>
    </r>
    <r>
      <rPr>
        <sz val="20"/>
        <rFont val="Bookman Old Style"/>
        <family val="1"/>
      </rPr>
      <t>районного бюджету на 2014 рік за тимчасовою класифікацією видатків та кредитування місцевих бюджетів</t>
    </r>
  </si>
  <si>
    <r>
      <t xml:space="preserve">РОЗПОДІЛ ВИДАТКІВ                                                                                                                                                                                                                                                                                                                                             </t>
    </r>
    <r>
      <rPr>
        <sz val="18"/>
        <rFont val="Bookman Old Style"/>
        <family val="1"/>
      </rPr>
      <t>районного бюджету на 2014 рік за головними розпорядниками коштів</t>
    </r>
  </si>
  <si>
    <r>
      <t xml:space="preserve">РОЗПОДІЛ ВИДАТКІВ                                                                                                                                                                                                                                                                                                                                             </t>
    </r>
    <r>
      <rPr>
        <sz val="20"/>
        <rFont val="Bookman Old Style"/>
        <family val="1"/>
      </rPr>
      <t>районного бюджету на 2014 рік за головними розпорядниками коштів</t>
    </r>
  </si>
  <si>
    <t>Джерела фінансування районного бюджету на 2014 рік</t>
  </si>
  <si>
    <t>Перелік об'єктів, видатки на які у 2014 році будуть проводитися за рахунок коштів бюджету розвитку</t>
  </si>
  <si>
    <t>Заходи,спрямовані на підтримку окремих категорій громадян району</t>
  </si>
  <si>
    <t>Заходи, спрямовані на підтримку зайнятості населення району</t>
  </si>
  <si>
    <r>
      <t xml:space="preserve">ПЕРЕЛІК                                                                                                                                                                                                                      </t>
    </r>
    <r>
      <rPr>
        <sz val="18"/>
        <rFont val="Bookman Old Style"/>
        <family val="1"/>
      </rPr>
      <t xml:space="preserve">програм районного значення на 2014 рік                            </t>
    </r>
    <r>
      <rPr>
        <b/>
        <sz val="18"/>
        <rFont val="Bookman Old Style"/>
        <family val="1"/>
      </rPr>
      <t xml:space="preserve">      </t>
    </r>
  </si>
  <si>
    <t>Програма соціально - економічного і культурного розвитку району на 2014 рік</t>
  </si>
  <si>
    <t>Програма реалізації заходів на розвиток культури і проведення районних культурно - мистецьких та культурно - масових заходів на 2014 рік</t>
  </si>
  <si>
    <t>Програма реалізації заходів на розвиток фізичної культури і спорту та проведення районних спортивно - масових заходів на 2014 рік</t>
  </si>
  <si>
    <t>Програма щодо виконання загальнодержавної програми "Національний план дій щодо реалізації конвенції ООН "Про права дитини" на період до 2016 року" на 2014 рік</t>
  </si>
  <si>
    <t>Програма реалізації державної та місцевої політики, щодо поліпшення становища дітей, молоді, жінок та сімей на 2014 рік</t>
  </si>
  <si>
    <t>Програма реалізації заходів, спрямованих на підтримку окремих категорій громадян Довгинцівського району на 2014 рік</t>
  </si>
  <si>
    <t>Програма реалізації заходів соціального захисту окремих категорій мешканців Довгинцівського району на 2014 рік</t>
  </si>
  <si>
    <t>Програма фінансування послуг щодо оформлення документів на  нерухоме майно, яке визнане відумерлою спадщиною на 2014 рік</t>
  </si>
  <si>
    <t>Зміни обсягів бюджетних коштів</t>
  </si>
  <si>
    <t>Надання допомоги незахищеним верствам населення</t>
  </si>
  <si>
    <t>Організаційне, інформаційно - аналітичне та матеріально - технічне забезпечення діяльності виконавчого комітету Довгинцівської районної в місті ради</t>
  </si>
  <si>
    <t>1511060</t>
  </si>
  <si>
    <t>0310070</t>
  </si>
  <si>
    <t xml:space="preserve">                    Додаток 6</t>
  </si>
  <si>
    <r>
      <t xml:space="preserve">від </t>
    </r>
    <r>
      <rPr>
        <u val="single"/>
        <sz val="18"/>
        <rFont val="Bookman Old Style"/>
        <family val="1"/>
      </rPr>
      <t>26.12.2014</t>
    </r>
    <r>
      <rPr>
        <sz val="18"/>
        <rFont val="Bookman Old Style"/>
        <family val="1"/>
      </rPr>
      <t xml:space="preserve"> № </t>
    </r>
    <r>
      <rPr>
        <u val="single"/>
        <sz val="18"/>
        <rFont val="Bookman Old Style"/>
        <family val="1"/>
      </rPr>
      <t>272</t>
    </r>
  </si>
  <si>
    <t>від 26.12.2014 № 272</t>
  </si>
  <si>
    <t xml:space="preserve">                    від 26.12.2014 № 272</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</si>
</sst>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00"/>
  </numFmts>
  <fonts count="65">
    <font>
      <sz val="10"/>
      <name val="Arial Cyr"/>
      <family val="0"/>
    </font>
    <font>
      <sz val="10"/>
      <name val="Bookman Old Style"/>
      <family val="1"/>
    </font>
    <font>
      <sz val="12"/>
      <name val="Bookman Old Style"/>
      <family val="1"/>
    </font>
    <font>
      <sz val="11"/>
      <name val="Bookman Old Style"/>
      <family val="1"/>
    </font>
    <font>
      <sz val="8"/>
      <name val="Bookman Old Style"/>
      <family val="1"/>
    </font>
    <font>
      <b/>
      <sz val="12"/>
      <name val="Bookman Old Style"/>
      <family val="1"/>
    </font>
    <font>
      <sz val="8"/>
      <name val="Arial Cyr"/>
      <family val="0"/>
    </font>
    <font>
      <sz val="18"/>
      <name val="Bookman Old Style"/>
      <family val="1"/>
    </font>
    <font>
      <sz val="16"/>
      <name val="Bookman Old Style"/>
      <family val="1"/>
    </font>
    <font>
      <sz val="14"/>
      <name val="Bookman Old Style"/>
      <family val="1"/>
    </font>
    <font>
      <b/>
      <sz val="18"/>
      <name val="Bookman Old Style"/>
      <family val="1"/>
    </font>
    <font>
      <b/>
      <sz val="14"/>
      <name val="Bookman Old Style"/>
      <family val="1"/>
    </font>
    <font>
      <sz val="13"/>
      <name val="Bookman Old Style"/>
      <family val="1"/>
    </font>
    <font>
      <sz val="10"/>
      <name val="Arial"/>
      <family val="2"/>
    </font>
    <font>
      <sz val="15"/>
      <name val="Bookman Old Style"/>
      <family val="1"/>
    </font>
    <font>
      <b/>
      <i/>
      <sz val="14"/>
      <name val="Bookman Old Style"/>
      <family val="1"/>
    </font>
    <font>
      <i/>
      <sz val="12"/>
      <name val="Bookman Old Style"/>
      <family val="1"/>
    </font>
    <font>
      <b/>
      <i/>
      <sz val="18"/>
      <name val="Bookman Old Style"/>
      <family val="1"/>
    </font>
    <font>
      <sz val="20"/>
      <name val="Bookman Old Style"/>
      <family val="1"/>
    </font>
    <font>
      <sz val="10"/>
      <name val="Times New Roman"/>
      <family val="1"/>
    </font>
    <font>
      <sz val="8"/>
      <color indexed="10"/>
      <name val="Times New Roman"/>
      <family val="1"/>
    </font>
    <font>
      <sz val="18"/>
      <name val="Times New Roman"/>
      <family val="1"/>
    </font>
    <font>
      <sz val="13"/>
      <name val="Times New Roman"/>
      <family val="1"/>
    </font>
    <font>
      <b/>
      <sz val="13"/>
      <name val="Bookman Old Style"/>
      <family val="1"/>
    </font>
    <font>
      <sz val="13"/>
      <color indexed="8"/>
      <name val="Bookman Old Style"/>
      <family val="1"/>
    </font>
    <font>
      <sz val="11"/>
      <name val="Arial Cyr"/>
      <family val="0"/>
    </font>
    <font>
      <b/>
      <sz val="20"/>
      <name val="Bookman Old Style"/>
      <family val="1"/>
    </font>
    <font>
      <sz val="19"/>
      <name val="Bookman Old Style"/>
      <family val="1"/>
    </font>
    <font>
      <u val="single"/>
      <sz val="18"/>
      <name val="Bookman Old Style"/>
      <family val="1"/>
    </font>
    <font>
      <i/>
      <sz val="13"/>
      <name val="Bookman Old Style"/>
      <family val="1"/>
    </font>
    <font>
      <sz val="13"/>
      <color indexed="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13" fillId="0" borderId="0">
      <alignment/>
      <protection/>
    </xf>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32" borderId="0" applyNumberFormat="0" applyBorder="0" applyAlignment="0" applyProtection="0"/>
  </cellStyleXfs>
  <cellXfs count="183">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center" wrapText="1"/>
    </xf>
    <xf numFmtId="0" fontId="1" fillId="0" borderId="0" xfId="0" applyFont="1" applyAlignment="1">
      <alignment horizontal="right"/>
    </xf>
    <xf numFmtId="0" fontId="5" fillId="0" borderId="0" xfId="0" applyFont="1" applyAlignment="1">
      <alignment horizontal="center"/>
    </xf>
    <xf numFmtId="0" fontId="3" fillId="0" borderId="10" xfId="0" applyFont="1" applyBorder="1" applyAlignment="1">
      <alignment horizontal="center" vertical="center" wrapText="1"/>
    </xf>
    <xf numFmtId="0" fontId="1" fillId="0" borderId="0" xfId="0" applyFont="1" applyAlignment="1">
      <alignment horizontal="center"/>
    </xf>
    <xf numFmtId="0" fontId="2" fillId="0" borderId="0" xfId="0" applyFont="1" applyFill="1" applyAlignment="1">
      <alignment/>
    </xf>
    <xf numFmtId="0" fontId="7" fillId="0" borderId="0" xfId="0" applyFont="1" applyAlignment="1">
      <alignment/>
    </xf>
    <xf numFmtId="0" fontId="2" fillId="0" borderId="0" xfId="0" applyFont="1" applyAlignment="1">
      <alignment/>
    </xf>
    <xf numFmtId="0" fontId="2" fillId="0" borderId="0" xfId="0" applyFont="1" applyFill="1" applyAlignment="1">
      <alignment horizontal="center"/>
    </xf>
    <xf numFmtId="0" fontId="8" fillId="0" borderId="0" xfId="0" applyFont="1" applyAlignment="1">
      <alignment vertical="top" shrinkToFit="1"/>
    </xf>
    <xf numFmtId="0" fontId="7" fillId="0" borderId="0" xfId="0" applyFont="1" applyAlignment="1">
      <alignment vertical="top" shrinkToFit="1"/>
    </xf>
    <xf numFmtId="0" fontId="8" fillId="0" borderId="0" xfId="0" applyFont="1" applyAlignment="1">
      <alignment horizontal="center"/>
    </xf>
    <xf numFmtId="0" fontId="9" fillId="0" borderId="0" xfId="0" applyFont="1" applyAlignment="1">
      <alignment/>
    </xf>
    <xf numFmtId="0" fontId="9" fillId="0" borderId="0" xfId="0" applyFont="1" applyAlignment="1">
      <alignment horizontal="center"/>
    </xf>
    <xf numFmtId="0" fontId="10" fillId="0" borderId="0" xfId="0" applyFont="1" applyAlignment="1">
      <alignment vertical="center" wrapText="1"/>
    </xf>
    <xf numFmtId="0" fontId="11" fillId="0" borderId="0" xfId="0" applyFont="1" applyAlignment="1">
      <alignment horizontal="center"/>
    </xf>
    <xf numFmtId="0" fontId="1" fillId="0" borderId="10" xfId="0" applyFont="1" applyBorder="1" applyAlignment="1">
      <alignment horizontal="center"/>
    </xf>
    <xf numFmtId="0" fontId="12" fillId="0" borderId="10" xfId="0" applyFont="1" applyBorder="1" applyAlignment="1">
      <alignment horizontal="left" vertical="center" wrapText="1"/>
    </xf>
    <xf numFmtId="0" fontId="7" fillId="0" borderId="0" xfId="0" applyFont="1" applyAlignment="1">
      <alignment/>
    </xf>
    <xf numFmtId="0" fontId="4" fillId="0" borderId="0" xfId="0" applyFont="1" applyAlignment="1">
      <alignment/>
    </xf>
    <xf numFmtId="0" fontId="2" fillId="0" borderId="0" xfId="0" applyFont="1" applyBorder="1" applyAlignment="1">
      <alignment/>
    </xf>
    <xf numFmtId="0" fontId="2" fillId="0" borderId="0" xfId="0" applyFont="1" applyAlignment="1">
      <alignment horizontal="right"/>
    </xf>
    <xf numFmtId="0" fontId="14" fillId="0" borderId="0" xfId="0" applyFont="1" applyAlignment="1">
      <alignment horizontal="left"/>
    </xf>
    <xf numFmtId="0" fontId="14" fillId="0" borderId="0" xfId="0" applyFont="1" applyAlignment="1">
      <alignment/>
    </xf>
    <xf numFmtId="0" fontId="1" fillId="0" borderId="0" xfId="0" applyFont="1" applyAlignment="1">
      <alignment horizontal="right"/>
    </xf>
    <xf numFmtId="0" fontId="2" fillId="0" borderId="10" xfId="0" applyFont="1" applyBorder="1" applyAlignment="1">
      <alignment horizontal="center" vertical="center" wrapText="1"/>
    </xf>
    <xf numFmtId="0" fontId="15" fillId="0" borderId="0" xfId="0" applyFont="1" applyFill="1" applyAlignment="1">
      <alignment/>
    </xf>
    <xf numFmtId="0" fontId="17" fillId="0" borderId="0" xfId="0" applyFont="1" applyFill="1" applyAlignment="1">
      <alignment/>
    </xf>
    <xf numFmtId="0" fontId="16" fillId="0" borderId="10" xfId="0" applyFont="1" applyBorder="1" applyAlignment="1">
      <alignment horizontal="center" vertical="center" wrapText="1"/>
    </xf>
    <xf numFmtId="0" fontId="14" fillId="0" borderId="0" xfId="0" applyFont="1" applyAlignment="1">
      <alignment/>
    </xf>
    <xf numFmtId="0" fontId="12" fillId="0" borderId="0" xfId="0" applyFont="1" applyAlignment="1">
      <alignment/>
    </xf>
    <xf numFmtId="0" fontId="12" fillId="0" borderId="10" xfId="0" applyFont="1" applyBorder="1" applyAlignment="1">
      <alignment/>
    </xf>
    <xf numFmtId="2" fontId="12" fillId="0" borderId="10" xfId="0" applyNumberFormat="1" applyFont="1" applyBorder="1" applyAlignment="1">
      <alignment horizontal="center"/>
    </xf>
    <xf numFmtId="0" fontId="18" fillId="0" borderId="0" xfId="0" applyFont="1" applyAlignment="1">
      <alignment/>
    </xf>
    <xf numFmtId="0" fontId="9" fillId="0" borderId="0" xfId="0" applyFont="1" applyAlignment="1">
      <alignment/>
    </xf>
    <xf numFmtId="0" fontId="12" fillId="0" borderId="10" xfId="0" applyFont="1" applyBorder="1" applyAlignment="1">
      <alignment horizontal="center" vertical="center" wrapText="1"/>
    </xf>
    <xf numFmtId="49" fontId="12" fillId="0" borderId="10" xfId="0" applyNumberFormat="1" applyFont="1" applyFill="1" applyBorder="1" applyAlignment="1">
      <alignment horizontal="right" vertical="center" wrapText="1"/>
    </xf>
    <xf numFmtId="49" fontId="12" fillId="0" borderId="10" xfId="0" applyNumberFormat="1" applyFont="1" applyFill="1" applyBorder="1" applyAlignment="1">
      <alignment vertical="center" wrapText="1"/>
    </xf>
    <xf numFmtId="49" fontId="12" fillId="0" borderId="10" xfId="0" applyNumberFormat="1" applyFont="1" applyFill="1" applyBorder="1" applyAlignment="1">
      <alignment horizontal="right" vertical="center"/>
    </xf>
    <xf numFmtId="0" fontId="12" fillId="0" borderId="10" xfId="0" applyFont="1" applyFill="1" applyBorder="1" applyAlignment="1">
      <alignment vertical="center" wrapText="1"/>
    </xf>
    <xf numFmtId="49" fontId="12" fillId="0" borderId="10" xfId="0" applyNumberFormat="1" applyFont="1" applyBorder="1" applyAlignment="1">
      <alignment horizontal="right" vertical="center"/>
    </xf>
    <xf numFmtId="0" fontId="12" fillId="0" borderId="10" xfId="0" applyFont="1" applyBorder="1" applyAlignment="1">
      <alignment vertical="center" wrapText="1"/>
    </xf>
    <xf numFmtId="49" fontId="12" fillId="0" borderId="10" xfId="0" applyNumberFormat="1" applyFont="1" applyFill="1" applyBorder="1" applyAlignment="1">
      <alignment horizontal="left" vertical="center" wrapText="1"/>
    </xf>
    <xf numFmtId="49" fontId="12" fillId="0" borderId="10" xfId="0" applyNumberFormat="1" applyFont="1" applyBorder="1" applyAlignment="1">
      <alignment horizontal="right" vertical="center" wrapText="1"/>
    </xf>
    <xf numFmtId="0" fontId="12" fillId="0" borderId="10" xfId="0" applyNumberFormat="1" applyFont="1" applyBorder="1" applyAlignment="1">
      <alignment horizontal="left" vertical="center" wrapText="1"/>
    </xf>
    <xf numFmtId="0" fontId="12" fillId="0" borderId="10" xfId="0" applyFont="1" applyBorder="1" applyAlignment="1">
      <alignment horizontal="left" vertical="center"/>
    </xf>
    <xf numFmtId="2" fontId="12" fillId="0" borderId="0" xfId="0" applyNumberFormat="1" applyFont="1" applyAlignment="1">
      <alignment/>
    </xf>
    <xf numFmtId="0" fontId="7" fillId="0" borderId="0" xfId="52" applyFont="1" applyAlignment="1">
      <alignment/>
      <protection/>
    </xf>
    <xf numFmtId="0" fontId="19" fillId="0" borderId="0" xfId="52" applyFont="1" applyAlignment="1">
      <alignment vertical="center" wrapText="1"/>
      <protection/>
    </xf>
    <xf numFmtId="0" fontId="7" fillId="0" borderId="0" xfId="52" applyFont="1" applyAlignment="1">
      <alignment horizontal="left"/>
      <protection/>
    </xf>
    <xf numFmtId="0" fontId="19" fillId="0" borderId="0" xfId="52" applyFont="1" applyAlignment="1">
      <alignment horizontal="left" indent="3"/>
      <protection/>
    </xf>
    <xf numFmtId="0" fontId="21" fillId="0" borderId="0" xfId="52" applyFont="1">
      <alignment/>
      <protection/>
    </xf>
    <xf numFmtId="0" fontId="21" fillId="0" borderId="0" xfId="52" applyFont="1" applyAlignment="1">
      <alignment horizontal="left"/>
      <protection/>
    </xf>
    <xf numFmtId="0" fontId="21" fillId="0" borderId="0" xfId="52" applyFont="1" applyAlignment="1">
      <alignment horizontal="center"/>
      <protection/>
    </xf>
    <xf numFmtId="0" fontId="19" fillId="0" borderId="0" xfId="52" applyFont="1">
      <alignment/>
      <protection/>
    </xf>
    <xf numFmtId="0" fontId="20" fillId="0" borderId="0" xfId="52" applyFont="1" applyAlignment="1">
      <alignment vertical="center" wrapText="1"/>
      <protection/>
    </xf>
    <xf numFmtId="0" fontId="22" fillId="0" borderId="0" xfId="0" applyFont="1" applyAlignment="1">
      <alignment/>
    </xf>
    <xf numFmtId="0" fontId="12" fillId="0" borderId="0" xfId="52" applyFont="1" applyAlignment="1">
      <alignment horizontal="center"/>
      <protection/>
    </xf>
    <xf numFmtId="0" fontId="23" fillId="0" borderId="0" xfId="52" applyFont="1" applyAlignment="1">
      <alignment horizontal="center"/>
      <protection/>
    </xf>
    <xf numFmtId="0" fontId="12" fillId="0" borderId="0" xfId="52" applyFont="1" applyAlignment="1">
      <alignment horizontal="right"/>
      <protection/>
    </xf>
    <xf numFmtId="0" fontId="12" fillId="0" borderId="10" xfId="52" applyFont="1" applyBorder="1" applyAlignment="1">
      <alignment horizontal="center" vertical="center" wrapText="1"/>
      <protection/>
    </xf>
    <xf numFmtId="0" fontId="12" fillId="0" borderId="10" xfId="52" applyFont="1" applyBorder="1" applyAlignment="1">
      <alignment horizontal="center" vertical="center"/>
      <protection/>
    </xf>
    <xf numFmtId="2" fontId="12" fillId="0" borderId="10" xfId="52" applyNumberFormat="1" applyFont="1" applyBorder="1" applyAlignment="1">
      <alignment horizontal="center" vertical="center" wrapText="1"/>
      <protection/>
    </xf>
    <xf numFmtId="0" fontId="12" fillId="0" borderId="10" xfId="52" applyFont="1" applyBorder="1" applyAlignment="1">
      <alignment horizontal="left" vertical="center" wrapText="1"/>
      <protection/>
    </xf>
    <xf numFmtId="2" fontId="12" fillId="0" borderId="10" xfId="52" applyNumberFormat="1" applyFont="1" applyBorder="1" applyAlignment="1">
      <alignment horizontal="center" vertical="center"/>
      <protection/>
    </xf>
    <xf numFmtId="0" fontId="12" fillId="0" borderId="10" xfId="52" applyFont="1" applyBorder="1" applyAlignment="1">
      <alignment horizontal="left" vertical="center"/>
      <protection/>
    </xf>
    <xf numFmtId="0" fontId="24" fillId="0" borderId="10" xfId="0" applyFont="1" applyBorder="1" applyAlignment="1">
      <alignment horizontal="center" vertical="center" wrapText="1"/>
    </xf>
    <xf numFmtId="0" fontId="12" fillId="0" borderId="10" xfId="52" applyFont="1" applyFill="1" applyBorder="1" applyAlignment="1">
      <alignment horizontal="center" vertical="top"/>
      <protection/>
    </xf>
    <xf numFmtId="0" fontId="12" fillId="0" borderId="10" xfId="52" applyFont="1" applyFill="1" applyBorder="1" applyAlignment="1">
      <alignment horizontal="left" vertical="center"/>
      <protection/>
    </xf>
    <xf numFmtId="2" fontId="12" fillId="0" borderId="10" xfId="52" applyNumberFormat="1" applyFont="1" applyFill="1" applyBorder="1" applyAlignment="1">
      <alignment horizontal="center" vertical="center"/>
      <protection/>
    </xf>
    <xf numFmtId="0" fontId="12" fillId="0" borderId="10" xfId="52" applyFont="1" applyBorder="1" applyAlignment="1">
      <alignment horizontal="center" vertical="top"/>
      <protection/>
    </xf>
    <xf numFmtId="0" fontId="12" fillId="0" borderId="10" xfId="52" applyFont="1" applyBorder="1" applyAlignment="1">
      <alignment vertical="top" wrapText="1"/>
      <protection/>
    </xf>
    <xf numFmtId="0" fontId="24" fillId="0" borderId="10" xfId="0" applyFont="1" applyBorder="1" applyAlignment="1">
      <alignment horizontal="left" vertical="center" wrapText="1"/>
    </xf>
    <xf numFmtId="0" fontId="12" fillId="0" borderId="10" xfId="52" applyFont="1" applyBorder="1" applyAlignment="1">
      <alignment vertical="center" wrapText="1"/>
      <protection/>
    </xf>
    <xf numFmtId="0" fontId="24" fillId="0" borderId="10" xfId="0" applyFont="1" applyBorder="1" applyAlignment="1">
      <alignment wrapText="1"/>
    </xf>
    <xf numFmtId="0" fontId="12" fillId="0" borderId="10" xfId="52" applyFont="1" applyBorder="1" applyAlignment="1">
      <alignment horizontal="center" vertical="top" wrapText="1"/>
      <protection/>
    </xf>
    <xf numFmtId="0" fontId="12" fillId="0" borderId="10" xfId="52" applyFont="1" applyFill="1" applyBorder="1" applyAlignment="1">
      <alignment horizontal="left" vertical="center" wrapText="1"/>
      <protection/>
    </xf>
    <xf numFmtId="1" fontId="25" fillId="0" borderId="0" xfId="0" applyNumberFormat="1" applyFont="1" applyAlignment="1">
      <alignment/>
    </xf>
    <xf numFmtId="1" fontId="3" fillId="0" borderId="0" xfId="52" applyNumberFormat="1" applyFont="1" applyFill="1" applyBorder="1" applyAlignment="1">
      <alignment horizontal="center" vertical="center"/>
      <protection/>
    </xf>
    <xf numFmtId="1" fontId="18" fillId="0" borderId="0" xfId="0" applyNumberFormat="1" applyFont="1" applyAlignment="1">
      <alignment/>
    </xf>
    <xf numFmtId="1" fontId="18" fillId="0" borderId="0" xfId="52" applyNumberFormat="1" applyFont="1" applyFill="1" applyBorder="1" applyAlignment="1">
      <alignment horizontal="center" vertical="center"/>
      <protection/>
    </xf>
    <xf numFmtId="1" fontId="0" fillId="0" borderId="0" xfId="0" applyNumberFormat="1" applyAlignment="1">
      <alignment/>
    </xf>
    <xf numFmtId="0" fontId="12" fillId="0" borderId="10" xfId="52" applyFont="1" applyFill="1" applyBorder="1" applyAlignment="1">
      <alignment horizontal="center" vertical="center"/>
      <protection/>
    </xf>
    <xf numFmtId="0" fontId="14" fillId="0" borderId="0" xfId="0" applyFont="1" applyAlignment="1">
      <alignment vertical="top" shrinkToFit="1"/>
    </xf>
    <xf numFmtId="0" fontId="12" fillId="0" borderId="0" xfId="0" applyFont="1" applyAlignment="1">
      <alignment wrapText="1"/>
    </xf>
    <xf numFmtId="2" fontId="12" fillId="0" borderId="10" xfId="0" applyNumberFormat="1" applyFont="1" applyBorder="1" applyAlignment="1">
      <alignment horizontal="center" vertical="center"/>
    </xf>
    <xf numFmtId="2" fontId="12" fillId="0" borderId="10" xfId="0" applyNumberFormat="1" applyFont="1" applyBorder="1" applyAlignment="1">
      <alignment/>
    </xf>
    <xf numFmtId="2" fontId="12" fillId="0" borderId="10" xfId="0" applyNumberFormat="1" applyFont="1" applyBorder="1" applyAlignment="1">
      <alignment horizontal="center" vertical="center" wrapText="1"/>
    </xf>
    <xf numFmtId="2" fontId="12" fillId="0" borderId="10" xfId="0" applyNumberFormat="1" applyFont="1" applyFill="1" applyBorder="1" applyAlignment="1">
      <alignment horizontal="center" vertical="center" wrapText="1"/>
    </xf>
    <xf numFmtId="0" fontId="1" fillId="0" borderId="0" xfId="0" applyFont="1" applyFill="1" applyAlignment="1">
      <alignment/>
    </xf>
    <xf numFmtId="0" fontId="1" fillId="0" borderId="10" xfId="0" applyFont="1" applyFill="1" applyBorder="1" applyAlignment="1">
      <alignment horizontal="center"/>
    </xf>
    <xf numFmtId="2" fontId="12" fillId="33" borderId="10" xfId="52" applyNumberFormat="1" applyFont="1" applyFill="1" applyBorder="1" applyAlignment="1">
      <alignment horizontal="center" vertical="center"/>
      <protection/>
    </xf>
    <xf numFmtId="4" fontId="12" fillId="0" borderId="0" xfId="0" applyNumberFormat="1" applyFont="1" applyAlignment="1">
      <alignment wrapText="1"/>
    </xf>
    <xf numFmtId="2" fontId="5" fillId="0" borderId="0" xfId="0" applyNumberFormat="1" applyFont="1" applyAlignment="1">
      <alignment horizontal="center"/>
    </xf>
    <xf numFmtId="49" fontId="12" fillId="34" borderId="10" xfId="0" applyNumberFormat="1" applyFont="1" applyFill="1" applyBorder="1" applyAlignment="1">
      <alignment horizontal="center" vertical="center"/>
    </xf>
    <xf numFmtId="0" fontId="12" fillId="34" borderId="11" xfId="0" applyFont="1" applyFill="1" applyBorder="1" applyAlignment="1">
      <alignment horizontal="left" vertical="center" wrapText="1"/>
    </xf>
    <xf numFmtId="2" fontId="12" fillId="0" borderId="10" xfId="0" applyNumberFormat="1" applyFont="1" applyBorder="1" applyAlignment="1">
      <alignment/>
    </xf>
    <xf numFmtId="0" fontId="12" fillId="0" borderId="11" xfId="0" applyFont="1" applyBorder="1" applyAlignment="1">
      <alignment horizontal="left" vertical="center" wrapText="1"/>
    </xf>
    <xf numFmtId="49" fontId="12" fillId="34" borderId="10" xfId="0" applyNumberFormat="1" applyFont="1" applyFill="1" applyBorder="1" applyAlignment="1">
      <alignment horizontal="center" vertical="center" wrapText="1"/>
    </xf>
    <xf numFmtId="49" fontId="12" fillId="34" borderId="11" xfId="0" applyNumberFormat="1" applyFont="1" applyFill="1" applyBorder="1" applyAlignment="1">
      <alignment horizontal="left" vertical="center" wrapText="1"/>
    </xf>
    <xf numFmtId="49" fontId="12" fillId="0" borderId="11" xfId="0" applyNumberFormat="1" applyFont="1" applyFill="1" applyBorder="1" applyAlignment="1">
      <alignment vertical="top" wrapText="1"/>
    </xf>
    <xf numFmtId="49" fontId="12" fillId="0" borderId="10" xfId="0" applyNumberFormat="1" applyFont="1" applyBorder="1" applyAlignment="1">
      <alignment horizontal="center" vertical="center" wrapText="1"/>
    </xf>
    <xf numFmtId="0" fontId="12" fillId="0" borderId="11" xfId="0" applyNumberFormat="1" applyFont="1" applyBorder="1" applyAlignment="1">
      <alignment horizontal="left" vertical="center" wrapText="1"/>
    </xf>
    <xf numFmtId="0" fontId="24" fillId="0" borderId="0" xfId="0" applyFont="1" applyAlignment="1">
      <alignment horizontal="left" vertical="center" wrapText="1"/>
    </xf>
    <xf numFmtId="49" fontId="12" fillId="0" borderId="10" xfId="0" applyNumberFormat="1" applyFont="1" applyFill="1" applyBorder="1" applyAlignment="1">
      <alignment horizontal="center" vertical="center" wrapText="1"/>
    </xf>
    <xf numFmtId="0" fontId="12" fillId="0" borderId="11" xfId="0" applyNumberFormat="1" applyFont="1" applyFill="1" applyBorder="1" applyAlignment="1">
      <alignment horizontal="left" vertical="center" wrapText="1"/>
    </xf>
    <xf numFmtId="49" fontId="12" fillId="0" borderId="10" xfId="0" applyNumberFormat="1" applyFont="1" applyBorder="1" applyAlignment="1">
      <alignment horizontal="center" vertical="center"/>
    </xf>
    <xf numFmtId="49" fontId="12" fillId="0" borderId="10" xfId="0" applyNumberFormat="1"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0" xfId="0" applyFont="1" applyFill="1" applyBorder="1" applyAlignment="1">
      <alignment/>
    </xf>
    <xf numFmtId="0" fontId="12" fillId="0" borderId="11" xfId="52" applyFont="1" applyFill="1" applyBorder="1" applyAlignment="1">
      <alignment horizontal="left" vertical="center" wrapText="1"/>
      <protection/>
    </xf>
    <xf numFmtId="0" fontId="12" fillId="0" borderId="10" xfId="0" applyFont="1" applyFill="1" applyBorder="1" applyAlignment="1">
      <alignment/>
    </xf>
    <xf numFmtId="0" fontId="12" fillId="0" borderId="11" xfId="0" applyFont="1" applyFill="1" applyBorder="1" applyAlignment="1">
      <alignment/>
    </xf>
    <xf numFmtId="0" fontId="12" fillId="0" borderId="10" xfId="0" applyFont="1" applyBorder="1" applyAlignment="1">
      <alignment vertical="center" wrapText="1"/>
    </xf>
    <xf numFmtId="0" fontId="12" fillId="0" borderId="10" xfId="0" applyFont="1" applyBorder="1" applyAlignment="1">
      <alignment horizontal="left"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vertical="center" wrapText="1"/>
    </xf>
    <xf numFmtId="49" fontId="12" fillId="0" borderId="10" xfId="0" applyNumberFormat="1" applyFont="1" applyBorder="1" applyAlignment="1">
      <alignment horizontal="right" vertical="center"/>
    </xf>
    <xf numFmtId="49" fontId="12" fillId="0" borderId="10" xfId="0" applyNumberFormat="1" applyFont="1" applyFill="1" applyBorder="1" applyAlignment="1">
      <alignment vertical="top" wrapText="1"/>
    </xf>
    <xf numFmtId="49" fontId="29" fillId="0" borderId="10" xfId="0" applyNumberFormat="1" applyFont="1" applyFill="1" applyBorder="1" applyAlignment="1">
      <alignment horizontal="right" vertical="center" wrapText="1"/>
    </xf>
    <xf numFmtId="49" fontId="12" fillId="34" borderId="10" xfId="0" applyNumberFormat="1" applyFont="1" applyFill="1" applyBorder="1" applyAlignment="1">
      <alignment horizontal="right" vertical="center"/>
    </xf>
    <xf numFmtId="0" fontId="12" fillId="34" borderId="10" xfId="0" applyFont="1" applyFill="1" applyBorder="1" applyAlignment="1">
      <alignment horizontal="left" vertical="center" wrapText="1"/>
    </xf>
    <xf numFmtId="49" fontId="12" fillId="0" borderId="10" xfId="0" applyNumberFormat="1" applyFont="1" applyBorder="1" applyAlignment="1">
      <alignment horizontal="right" vertical="center" wrapText="1"/>
    </xf>
    <xf numFmtId="0" fontId="24" fillId="0" borderId="10" xfId="0" applyFont="1" applyBorder="1" applyAlignment="1">
      <alignment horizontal="left" vertical="center" wrapText="1"/>
    </xf>
    <xf numFmtId="0" fontId="12" fillId="0" borderId="10" xfId="0" applyNumberFormat="1" applyFont="1" applyBorder="1" applyAlignment="1">
      <alignment horizontal="left" vertical="center" wrapText="1"/>
    </xf>
    <xf numFmtId="0" fontId="12" fillId="0" borderId="10" xfId="0" applyNumberFormat="1" applyFont="1" applyFill="1" applyBorder="1" applyAlignment="1">
      <alignment horizontal="left" vertical="center" wrapText="1"/>
    </xf>
    <xf numFmtId="49" fontId="12" fillId="0" borderId="10" xfId="0" applyNumberFormat="1" applyFont="1" applyFill="1" applyBorder="1" applyAlignment="1">
      <alignment horizontal="right" vertical="center" wrapText="1"/>
    </xf>
    <xf numFmtId="0" fontId="12" fillId="0" borderId="10" xfId="0" applyFont="1" applyBorder="1" applyAlignment="1">
      <alignment vertical="top" wrapText="1"/>
    </xf>
    <xf numFmtId="0" fontId="12" fillId="0" borderId="10" xfId="0" applyFont="1" applyBorder="1" applyAlignment="1">
      <alignment horizontal="right" vertical="top" shrinkToFit="1"/>
    </xf>
    <xf numFmtId="0" fontId="12" fillId="0" borderId="10" xfId="0" applyFont="1" applyBorder="1" applyAlignment="1">
      <alignment vertical="top" shrinkToFit="1"/>
    </xf>
    <xf numFmtId="0" fontId="22" fillId="0" borderId="10" xfId="0" applyFont="1" applyBorder="1" applyAlignment="1">
      <alignment horizontal="right"/>
    </xf>
    <xf numFmtId="0" fontId="12" fillId="0" borderId="10" xfId="0" applyFont="1" applyBorder="1" applyAlignment="1">
      <alignment horizontal="left" vertical="center" wrapText="1" shrinkToFit="1"/>
    </xf>
    <xf numFmtId="49" fontId="12" fillId="0" borderId="10" xfId="0" applyNumberFormat="1" applyFont="1" applyBorder="1" applyAlignment="1">
      <alignment horizontal="right"/>
    </xf>
    <xf numFmtId="49" fontId="12" fillId="0" borderId="10" xfId="0" applyNumberFormat="1" applyFont="1" applyBorder="1" applyAlignment="1">
      <alignment horizontal="left"/>
    </xf>
    <xf numFmtId="2" fontId="12" fillId="0" borderId="10" xfId="0" applyNumberFormat="1" applyFont="1" applyBorder="1" applyAlignment="1">
      <alignment horizontal="right"/>
    </xf>
    <xf numFmtId="0" fontId="12" fillId="0" borderId="12" xfId="0" applyFont="1" applyBorder="1" applyAlignment="1">
      <alignment vertical="center" wrapText="1"/>
    </xf>
    <xf numFmtId="49" fontId="12" fillId="0" borderId="11" xfId="0" applyNumberFormat="1" applyFont="1" applyBorder="1" applyAlignment="1">
      <alignment horizontal="right" vertical="center"/>
    </xf>
    <xf numFmtId="2" fontId="12" fillId="0" borderId="13" xfId="0" applyNumberFormat="1" applyFont="1" applyBorder="1" applyAlignment="1">
      <alignment/>
    </xf>
    <xf numFmtId="0" fontId="24" fillId="0" borderId="10" xfId="0" applyFont="1" applyBorder="1" applyAlignment="1">
      <alignment vertical="center" wrapText="1"/>
    </xf>
    <xf numFmtId="49" fontId="12" fillId="0" borderId="11" xfId="0" applyNumberFormat="1" applyFont="1" applyFill="1" applyBorder="1" applyAlignment="1">
      <alignment horizontal="right" vertical="center"/>
    </xf>
    <xf numFmtId="0" fontId="24" fillId="0" borderId="14" xfId="0" applyFont="1" applyBorder="1" applyAlignment="1">
      <alignment vertical="center" wrapText="1"/>
    </xf>
    <xf numFmtId="49" fontId="12" fillId="0" borderId="14" xfId="0" applyNumberFormat="1" applyFont="1" applyFill="1" applyBorder="1" applyAlignment="1">
      <alignment vertical="top" wrapText="1"/>
    </xf>
    <xf numFmtId="0" fontId="12" fillId="34" borderId="10" xfId="0" applyNumberFormat="1" applyFont="1" applyFill="1" applyBorder="1" applyAlignment="1">
      <alignment horizontal="left" vertical="center" wrapText="1"/>
    </xf>
    <xf numFmtId="49" fontId="12" fillId="0" borderId="10" xfId="0" applyNumberFormat="1" applyFont="1" applyFill="1" applyBorder="1" applyAlignment="1">
      <alignment horizontal="right"/>
    </xf>
    <xf numFmtId="0" fontId="12" fillId="0" borderId="10" xfId="0" applyFont="1" applyBorder="1" applyAlignment="1">
      <alignment horizontal="center" vertical="center"/>
    </xf>
    <xf numFmtId="4" fontId="12" fillId="0" borderId="10" xfId="0" applyNumberFormat="1" applyFont="1" applyBorder="1" applyAlignment="1">
      <alignment horizontal="center" vertical="center"/>
    </xf>
    <xf numFmtId="0" fontId="12" fillId="0" borderId="11" xfId="0" applyNumberFormat="1" applyFont="1" applyBorder="1" applyAlignment="1">
      <alignment horizontal="left" vertical="center" wrapText="1"/>
    </xf>
    <xf numFmtId="0" fontId="12" fillId="0" borderId="11" xfId="0" applyFont="1" applyBorder="1" applyAlignment="1">
      <alignment horizontal="left" vertical="center" wrapText="1"/>
    </xf>
    <xf numFmtId="2" fontId="1" fillId="0" borderId="0" xfId="0" applyNumberFormat="1" applyFont="1" applyAlignment="1">
      <alignment/>
    </xf>
    <xf numFmtId="49" fontId="12" fillId="34" borderId="10" xfId="0" applyNumberFormat="1" applyFont="1" applyFill="1" applyBorder="1" applyAlignment="1">
      <alignment horizontal="right" vertical="center"/>
    </xf>
    <xf numFmtId="49" fontId="12" fillId="34" borderId="10" xfId="0" applyNumberFormat="1" applyFont="1" applyFill="1" applyBorder="1" applyAlignment="1">
      <alignment horizontal="right" vertical="center" wrapText="1"/>
    </xf>
    <xf numFmtId="0" fontId="24" fillId="0" borderId="10" xfId="0" applyFont="1" applyBorder="1" applyAlignment="1">
      <alignment horizontal="left" vertical="top" wrapText="1"/>
    </xf>
    <xf numFmtId="0" fontId="8" fillId="0" borderId="15" xfId="0" applyFont="1" applyBorder="1" applyAlignment="1">
      <alignment horizontal="center"/>
    </xf>
    <xf numFmtId="0" fontId="10" fillId="0" borderId="0" xfId="52" applyFont="1" applyAlignment="1">
      <alignment horizontal="center"/>
      <protection/>
    </xf>
    <xf numFmtId="0" fontId="7" fillId="0" borderId="0" xfId="52" applyFont="1" applyAlignment="1">
      <alignment horizontal="center" vertical="center" wrapText="1"/>
      <protection/>
    </xf>
    <xf numFmtId="0" fontId="10" fillId="0" borderId="0" xfId="52" applyFont="1" applyAlignment="1">
      <alignment horizontal="center" vertical="center" wrapText="1"/>
      <protection/>
    </xf>
    <xf numFmtId="0" fontId="12" fillId="0" borderId="10" xfId="52" applyFont="1" applyBorder="1" applyAlignment="1">
      <alignment horizontal="center" vertical="center" wrapText="1"/>
      <protection/>
    </xf>
    <xf numFmtId="0" fontId="12" fillId="0" borderId="10" xfId="52" applyFont="1" applyBorder="1" applyAlignment="1">
      <alignment horizontal="center" vertical="center"/>
      <protection/>
    </xf>
    <xf numFmtId="0" fontId="3" fillId="0" borderId="10"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left" vertical="top" shrinkToFit="1"/>
    </xf>
    <xf numFmtId="0" fontId="26" fillId="0" borderId="0" xfId="0" applyFont="1" applyAlignment="1">
      <alignment horizontal="center" vertical="center" wrapText="1"/>
    </xf>
    <xf numFmtId="0" fontId="7" fillId="0" borderId="0" xfId="0" applyFont="1" applyAlignment="1">
      <alignment/>
    </xf>
    <xf numFmtId="0" fontId="7" fillId="0" borderId="0" xfId="0" applyFont="1" applyAlignment="1">
      <alignment vertical="top" shrinkToFit="1"/>
    </xf>
    <xf numFmtId="0" fontId="10" fillId="0" borderId="0" xfId="0" applyFont="1" applyAlignment="1">
      <alignment horizontal="center" vertical="center" wrapText="1"/>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27" fillId="0" borderId="0" xfId="0" applyFont="1" applyAlignment="1">
      <alignment horizontal="left" vertical="center"/>
    </xf>
    <xf numFmtId="0" fontId="27" fillId="0" borderId="0" xfId="0" applyFont="1" applyAlignment="1">
      <alignment horizontal="left" vertical="center" shrinkToFit="1"/>
    </xf>
    <xf numFmtId="0" fontId="3" fillId="0" borderId="10" xfId="0" applyFont="1" applyFill="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left" vertical="center" shrinkToFit="1"/>
    </xf>
    <xf numFmtId="0" fontId="2" fillId="0" borderId="10" xfId="0" applyFont="1" applyBorder="1" applyAlignment="1">
      <alignment horizontal="center" vertical="center" wrapText="1"/>
    </xf>
    <xf numFmtId="0" fontId="9" fillId="0" borderId="0" xfId="0" applyFont="1" applyAlignment="1">
      <alignment horizontal="left"/>
    </xf>
    <xf numFmtId="0" fontId="12" fillId="0" borderId="0" xfId="0" applyFont="1" applyAlignment="1">
      <alignment horizontal="center" wrapText="1"/>
    </xf>
    <xf numFmtId="0" fontId="8" fillId="0" borderId="0" xfId="0" applyFont="1" applyAlignment="1">
      <alignment horizontal="center" vertical="center" wrapText="1"/>
    </xf>
    <xf numFmtId="0" fontId="12" fillId="0" borderId="10" xfId="0" applyFont="1" applyBorder="1" applyAlignment="1">
      <alignment vertical="center" wrapText="1"/>
    </xf>
    <xf numFmtId="0" fontId="12" fillId="0" borderId="10" xfId="0" applyFont="1" applyBorder="1" applyAlignment="1">
      <alignment wrapText="1"/>
    </xf>
    <xf numFmtId="0" fontId="14" fillId="0" borderId="0" xfId="0" applyFont="1" applyAlignment="1">
      <alignment horizontal="left"/>
    </xf>
    <xf numFmtId="0" fontId="14" fillId="0" borderId="0" xfId="0" applyFont="1" applyAlignment="1">
      <alignment horizontal="left" vertical="top" shrinkToFit="1"/>
    </xf>
    <xf numFmtId="0" fontId="1" fillId="0" borderId="10"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66"/>
  <sheetViews>
    <sheetView view="pageBreakPreview" zoomScale="80" zoomScaleSheetLayoutView="80" workbookViewId="0" topLeftCell="A1">
      <selection activeCell="D4" sqref="D4"/>
    </sheetView>
  </sheetViews>
  <sheetFormatPr defaultColWidth="9.00390625" defaultRowHeight="12.75"/>
  <cols>
    <col min="1" max="1" width="14.25390625" style="0" customWidth="1"/>
    <col min="2" max="2" width="76.125" style="0" customWidth="1"/>
    <col min="3" max="3" width="19.625" style="0" customWidth="1"/>
    <col min="4" max="4" width="15.375" style="0" customWidth="1"/>
    <col min="5" max="5" width="13.25390625" style="0" customWidth="1"/>
    <col min="6" max="6" width="23.00390625" style="0" customWidth="1"/>
  </cols>
  <sheetData>
    <row r="1" spans="1:6" ht="23.25">
      <c r="A1" s="56"/>
      <c r="B1" s="57"/>
      <c r="D1" s="49" t="s">
        <v>119</v>
      </c>
      <c r="E1" s="49"/>
      <c r="F1" s="49"/>
    </row>
    <row r="2" spans="1:6" ht="23.25">
      <c r="A2" s="56"/>
      <c r="B2" s="50"/>
      <c r="D2" s="51" t="s">
        <v>96</v>
      </c>
      <c r="E2" s="49"/>
      <c r="F2" s="49"/>
    </row>
    <row r="3" spans="1:6" ht="23.25">
      <c r="A3" s="56"/>
      <c r="B3" s="50"/>
      <c r="D3" s="49" t="s">
        <v>88</v>
      </c>
      <c r="E3" s="49"/>
      <c r="F3" s="49"/>
    </row>
    <row r="4" spans="1:6" ht="23.25">
      <c r="A4" s="56"/>
      <c r="B4" s="56"/>
      <c r="D4" s="49" t="s">
        <v>314</v>
      </c>
      <c r="E4" s="49"/>
      <c r="F4" s="49"/>
    </row>
    <row r="5" spans="1:6" ht="23.25">
      <c r="A5" s="56"/>
      <c r="B5" s="56"/>
      <c r="C5" s="52"/>
      <c r="D5" s="53"/>
      <c r="E5" s="54"/>
      <c r="F5" s="55"/>
    </row>
    <row r="6" spans="1:6" ht="23.25" customHeight="1">
      <c r="A6" s="155" t="s">
        <v>120</v>
      </c>
      <c r="B6" s="155"/>
      <c r="C6" s="155"/>
      <c r="D6" s="155"/>
      <c r="E6" s="155"/>
      <c r="F6" s="155"/>
    </row>
    <row r="7" spans="1:6" s="58" customFormat="1" ht="47.25" customHeight="1">
      <c r="A7" s="156" t="s">
        <v>291</v>
      </c>
      <c r="B7" s="157"/>
      <c r="C7" s="157"/>
      <c r="D7" s="157"/>
      <c r="E7" s="157"/>
      <c r="F7" s="157"/>
    </row>
    <row r="8" spans="1:6" s="58" customFormat="1" ht="16.5">
      <c r="A8" s="59"/>
      <c r="B8" s="60"/>
      <c r="C8" s="60"/>
      <c r="D8" s="60"/>
      <c r="E8" s="60"/>
      <c r="F8" s="61" t="s">
        <v>121</v>
      </c>
    </row>
    <row r="9" spans="1:6" s="58" customFormat="1" ht="16.5">
      <c r="A9" s="158" t="s">
        <v>122</v>
      </c>
      <c r="B9" s="158" t="s">
        <v>123</v>
      </c>
      <c r="C9" s="158" t="s">
        <v>14</v>
      </c>
      <c r="D9" s="159" t="s">
        <v>15</v>
      </c>
      <c r="E9" s="159"/>
      <c r="F9" s="158" t="s">
        <v>17</v>
      </c>
    </row>
    <row r="10" spans="1:6" s="58" customFormat="1" ht="67.5" customHeight="1">
      <c r="A10" s="158"/>
      <c r="B10" s="158"/>
      <c r="C10" s="158"/>
      <c r="D10" s="63" t="s">
        <v>12</v>
      </c>
      <c r="E10" s="62" t="s">
        <v>101</v>
      </c>
      <c r="F10" s="158"/>
    </row>
    <row r="11" spans="1:6" s="58" customFormat="1" ht="16.5" customHeight="1">
      <c r="A11" s="62">
        <v>10000000</v>
      </c>
      <c r="B11" s="62" t="s">
        <v>124</v>
      </c>
      <c r="C11" s="64">
        <f>C18+C12</f>
        <v>8139900</v>
      </c>
      <c r="D11" s="64">
        <v>0</v>
      </c>
      <c r="E11" s="64">
        <v>0</v>
      </c>
      <c r="F11" s="64">
        <f aca="true" t="shared" si="0" ref="F11:F60">C11+D11</f>
        <v>8139900</v>
      </c>
    </row>
    <row r="12" spans="1:6" s="58" customFormat="1" ht="34.5" customHeight="1">
      <c r="A12" s="63">
        <v>13000000</v>
      </c>
      <c r="B12" s="65" t="s">
        <v>189</v>
      </c>
      <c r="C12" s="66">
        <f>C13</f>
        <v>7504300</v>
      </c>
      <c r="D12" s="64">
        <v>0</v>
      </c>
      <c r="E12" s="64">
        <v>0</v>
      </c>
      <c r="F12" s="64">
        <f t="shared" si="0"/>
        <v>7504300</v>
      </c>
    </row>
    <row r="13" spans="1:6" s="58" customFormat="1" ht="26.25" customHeight="1">
      <c r="A13" s="63">
        <v>13050000</v>
      </c>
      <c r="B13" s="67" t="s">
        <v>125</v>
      </c>
      <c r="C13" s="66">
        <f>C14+C15+C16+C17</f>
        <v>7504300</v>
      </c>
      <c r="D13" s="64">
        <v>0</v>
      </c>
      <c r="E13" s="64">
        <v>0</v>
      </c>
      <c r="F13" s="64">
        <f t="shared" si="0"/>
        <v>7504300</v>
      </c>
    </row>
    <row r="14" spans="1:6" s="58" customFormat="1" ht="26.25" customHeight="1">
      <c r="A14" s="63">
        <v>13050100</v>
      </c>
      <c r="B14" s="67" t="s">
        <v>126</v>
      </c>
      <c r="C14" s="66">
        <v>961100</v>
      </c>
      <c r="D14" s="64">
        <v>0</v>
      </c>
      <c r="E14" s="64">
        <v>0</v>
      </c>
      <c r="F14" s="64">
        <f t="shared" si="0"/>
        <v>961100</v>
      </c>
    </row>
    <row r="15" spans="1:6" s="58" customFormat="1" ht="26.25" customHeight="1">
      <c r="A15" s="63">
        <v>13050200</v>
      </c>
      <c r="B15" s="67" t="s">
        <v>127</v>
      </c>
      <c r="C15" s="66">
        <v>5325500</v>
      </c>
      <c r="D15" s="64">
        <v>0</v>
      </c>
      <c r="E15" s="64">
        <v>0</v>
      </c>
      <c r="F15" s="64">
        <f t="shared" si="0"/>
        <v>5325500</v>
      </c>
    </row>
    <row r="16" spans="1:6" s="58" customFormat="1" ht="26.25" customHeight="1">
      <c r="A16" s="63">
        <v>13050300</v>
      </c>
      <c r="B16" s="67" t="s">
        <v>128</v>
      </c>
      <c r="C16" s="66">
        <v>172600</v>
      </c>
      <c r="D16" s="64">
        <v>0</v>
      </c>
      <c r="E16" s="64">
        <v>0</v>
      </c>
      <c r="F16" s="64">
        <f t="shared" si="0"/>
        <v>172600</v>
      </c>
    </row>
    <row r="17" spans="1:6" s="58" customFormat="1" ht="26.25" customHeight="1">
      <c r="A17" s="63">
        <v>13050500</v>
      </c>
      <c r="B17" s="67" t="s">
        <v>129</v>
      </c>
      <c r="C17" s="66">
        <v>1045100</v>
      </c>
      <c r="D17" s="64">
        <v>0</v>
      </c>
      <c r="E17" s="64">
        <v>0</v>
      </c>
      <c r="F17" s="64">
        <f t="shared" si="0"/>
        <v>1045100</v>
      </c>
    </row>
    <row r="18" spans="1:6" s="58" customFormat="1" ht="26.25" customHeight="1">
      <c r="A18" s="63">
        <v>18000000</v>
      </c>
      <c r="B18" s="65" t="s">
        <v>130</v>
      </c>
      <c r="C18" s="66">
        <f>C19+C21</f>
        <v>635600</v>
      </c>
      <c r="D18" s="64">
        <v>0</v>
      </c>
      <c r="E18" s="64">
        <v>0</v>
      </c>
      <c r="F18" s="64">
        <f t="shared" si="0"/>
        <v>635600</v>
      </c>
    </row>
    <row r="19" spans="1:6" s="58" customFormat="1" ht="26.25" customHeight="1">
      <c r="A19" s="63">
        <v>18020000</v>
      </c>
      <c r="B19" s="65" t="s">
        <v>131</v>
      </c>
      <c r="C19" s="66">
        <f>C20</f>
        <v>43800</v>
      </c>
      <c r="D19" s="64">
        <v>0</v>
      </c>
      <c r="E19" s="64">
        <v>0</v>
      </c>
      <c r="F19" s="64">
        <f t="shared" si="0"/>
        <v>43800</v>
      </c>
    </row>
    <row r="20" spans="1:6" s="58" customFormat="1" ht="40.5" customHeight="1">
      <c r="A20" s="84">
        <v>18020200</v>
      </c>
      <c r="B20" s="78" t="s">
        <v>188</v>
      </c>
      <c r="C20" s="66">
        <v>43800</v>
      </c>
      <c r="D20" s="64">
        <v>0</v>
      </c>
      <c r="E20" s="64">
        <v>0</v>
      </c>
      <c r="F20" s="64">
        <f t="shared" si="0"/>
        <v>43800</v>
      </c>
    </row>
    <row r="21" spans="1:6" s="58" customFormat="1" ht="40.5" customHeight="1">
      <c r="A21" s="68">
        <v>18040000</v>
      </c>
      <c r="B21" s="19" t="s">
        <v>132</v>
      </c>
      <c r="C21" s="66">
        <f>SUM(C22:C33)</f>
        <v>591800</v>
      </c>
      <c r="D21" s="64">
        <v>0</v>
      </c>
      <c r="E21" s="64">
        <v>0</v>
      </c>
      <c r="F21" s="64">
        <f t="shared" si="0"/>
        <v>591800</v>
      </c>
    </row>
    <row r="22" spans="1:6" s="58" customFormat="1" ht="40.5" customHeight="1">
      <c r="A22" s="68" t="s">
        <v>133</v>
      </c>
      <c r="B22" s="19" t="s">
        <v>134</v>
      </c>
      <c r="C22" s="66">
        <v>254700</v>
      </c>
      <c r="D22" s="64">
        <v>0</v>
      </c>
      <c r="E22" s="64">
        <v>0</v>
      </c>
      <c r="F22" s="64">
        <f t="shared" si="0"/>
        <v>254700</v>
      </c>
    </row>
    <row r="23" spans="1:6" s="58" customFormat="1" ht="40.5" customHeight="1">
      <c r="A23" s="68" t="s">
        <v>135</v>
      </c>
      <c r="B23" s="19" t="s">
        <v>136</v>
      </c>
      <c r="C23" s="66">
        <v>197600</v>
      </c>
      <c r="D23" s="64">
        <v>0</v>
      </c>
      <c r="E23" s="64">
        <v>0</v>
      </c>
      <c r="F23" s="64">
        <f t="shared" si="0"/>
        <v>197600</v>
      </c>
    </row>
    <row r="24" spans="1:6" s="58" customFormat="1" ht="40.5" customHeight="1">
      <c r="A24" s="68" t="s">
        <v>137</v>
      </c>
      <c r="B24" s="19" t="s">
        <v>138</v>
      </c>
      <c r="C24" s="66">
        <v>2800</v>
      </c>
      <c r="D24" s="64">
        <v>0</v>
      </c>
      <c r="E24" s="64">
        <v>0</v>
      </c>
      <c r="F24" s="64">
        <f t="shared" si="0"/>
        <v>2800</v>
      </c>
    </row>
    <row r="25" spans="1:6" s="58" customFormat="1" ht="40.5" customHeight="1">
      <c r="A25" s="68" t="s">
        <v>139</v>
      </c>
      <c r="B25" s="19" t="s">
        <v>140</v>
      </c>
      <c r="C25" s="66">
        <v>44400</v>
      </c>
      <c r="D25" s="64">
        <v>0</v>
      </c>
      <c r="E25" s="64">
        <v>0</v>
      </c>
      <c r="F25" s="64">
        <f t="shared" si="0"/>
        <v>44400</v>
      </c>
    </row>
    <row r="26" spans="1:6" s="58" customFormat="1" ht="40.5" customHeight="1">
      <c r="A26" s="68" t="s">
        <v>141</v>
      </c>
      <c r="B26" s="19" t="s">
        <v>142</v>
      </c>
      <c r="C26" s="66">
        <v>24800</v>
      </c>
      <c r="D26" s="64">
        <v>0</v>
      </c>
      <c r="E26" s="64">
        <v>0</v>
      </c>
      <c r="F26" s="64">
        <f t="shared" si="0"/>
        <v>24800</v>
      </c>
    </row>
    <row r="27" spans="1:6" s="58" customFormat="1" ht="40.5" customHeight="1">
      <c r="A27" s="68" t="s">
        <v>143</v>
      </c>
      <c r="B27" s="19" t="s">
        <v>144</v>
      </c>
      <c r="C27" s="66">
        <v>50500</v>
      </c>
      <c r="D27" s="64">
        <v>0</v>
      </c>
      <c r="E27" s="64">
        <v>0</v>
      </c>
      <c r="F27" s="64">
        <f t="shared" si="0"/>
        <v>50500</v>
      </c>
    </row>
    <row r="28" spans="1:6" s="58" customFormat="1" ht="40.5" customHeight="1">
      <c r="A28" s="68" t="s">
        <v>145</v>
      </c>
      <c r="B28" s="19" t="s">
        <v>146</v>
      </c>
      <c r="C28" s="66">
        <v>1800</v>
      </c>
      <c r="D28" s="64">
        <v>0</v>
      </c>
      <c r="E28" s="64">
        <v>0</v>
      </c>
      <c r="F28" s="64">
        <f t="shared" si="0"/>
        <v>1800</v>
      </c>
    </row>
    <row r="29" spans="1:6" s="58" customFormat="1" ht="40.5" customHeight="1" hidden="1">
      <c r="A29" s="68" t="s">
        <v>147</v>
      </c>
      <c r="B29" s="19" t="s">
        <v>148</v>
      </c>
      <c r="C29" s="66"/>
      <c r="D29" s="64">
        <v>0</v>
      </c>
      <c r="E29" s="64">
        <v>0</v>
      </c>
      <c r="F29" s="64">
        <f t="shared" si="0"/>
        <v>0</v>
      </c>
    </row>
    <row r="30" spans="1:6" s="58" customFormat="1" ht="40.5" customHeight="1" hidden="1">
      <c r="A30" s="68" t="s">
        <v>149</v>
      </c>
      <c r="B30" s="19" t="s">
        <v>150</v>
      </c>
      <c r="C30" s="93"/>
      <c r="D30" s="64">
        <v>0</v>
      </c>
      <c r="E30" s="64">
        <v>0</v>
      </c>
      <c r="F30" s="64">
        <f t="shared" si="0"/>
        <v>0</v>
      </c>
    </row>
    <row r="31" spans="1:6" s="58" customFormat="1" ht="40.5" customHeight="1">
      <c r="A31" s="68" t="s">
        <v>151</v>
      </c>
      <c r="B31" s="19" t="s">
        <v>152</v>
      </c>
      <c r="C31" s="66">
        <v>10400</v>
      </c>
      <c r="D31" s="64">
        <v>0</v>
      </c>
      <c r="E31" s="64">
        <v>0</v>
      </c>
      <c r="F31" s="64">
        <f t="shared" si="0"/>
        <v>10400</v>
      </c>
    </row>
    <row r="32" spans="1:6" s="58" customFormat="1" ht="40.5" customHeight="1">
      <c r="A32" s="68" t="s">
        <v>153</v>
      </c>
      <c r="B32" s="19" t="s">
        <v>154</v>
      </c>
      <c r="C32" s="66">
        <v>4800</v>
      </c>
      <c r="D32" s="64">
        <v>0</v>
      </c>
      <c r="E32" s="64">
        <v>0</v>
      </c>
      <c r="F32" s="64">
        <f t="shared" si="0"/>
        <v>4800</v>
      </c>
    </row>
    <row r="33" spans="1:6" s="58" customFormat="1" ht="33" hidden="1">
      <c r="A33" s="68" t="s">
        <v>155</v>
      </c>
      <c r="B33" s="19" t="s">
        <v>156</v>
      </c>
      <c r="C33" s="93"/>
      <c r="D33" s="64">
        <v>0</v>
      </c>
      <c r="E33" s="64">
        <v>0</v>
      </c>
      <c r="F33" s="64">
        <f t="shared" si="0"/>
        <v>0</v>
      </c>
    </row>
    <row r="34" spans="1:6" s="58" customFormat="1" ht="16.5" hidden="1">
      <c r="A34" s="69">
        <v>16010600</v>
      </c>
      <c r="B34" s="70" t="s">
        <v>157</v>
      </c>
      <c r="C34" s="71"/>
      <c r="D34" s="71">
        <v>0</v>
      </c>
      <c r="E34" s="64">
        <v>0</v>
      </c>
      <c r="F34" s="64">
        <f t="shared" si="0"/>
        <v>0</v>
      </c>
    </row>
    <row r="35" spans="1:6" s="58" customFormat="1" ht="33" customHeight="1" hidden="1">
      <c r="A35" s="72">
        <v>16011500</v>
      </c>
      <c r="B35" s="73" t="s">
        <v>158</v>
      </c>
      <c r="C35" s="66"/>
      <c r="D35" s="66">
        <v>0</v>
      </c>
      <c r="E35" s="64">
        <v>0</v>
      </c>
      <c r="F35" s="64">
        <f t="shared" si="0"/>
        <v>0</v>
      </c>
    </row>
    <row r="36" spans="1:6" s="58" customFormat="1" ht="16.5" hidden="1">
      <c r="A36" s="72">
        <v>16011600</v>
      </c>
      <c r="B36" s="67" t="s">
        <v>159</v>
      </c>
      <c r="C36" s="66"/>
      <c r="D36" s="66">
        <v>0</v>
      </c>
      <c r="E36" s="64">
        <v>0</v>
      </c>
      <c r="F36" s="64">
        <f t="shared" si="0"/>
        <v>0</v>
      </c>
    </row>
    <row r="37" spans="1:6" s="58" customFormat="1" ht="21.75" customHeight="1">
      <c r="A37" s="72">
        <v>20000000</v>
      </c>
      <c r="B37" s="63" t="s">
        <v>160</v>
      </c>
      <c r="C37" s="66">
        <f>C40</f>
        <v>9600</v>
      </c>
      <c r="D37" s="66">
        <f>D41</f>
        <v>120284</v>
      </c>
      <c r="E37" s="66">
        <v>0</v>
      </c>
      <c r="F37" s="64">
        <f t="shared" si="0"/>
        <v>129884</v>
      </c>
    </row>
    <row r="38" spans="1:6" s="58" customFormat="1" ht="29.25" customHeight="1">
      <c r="A38" s="68" t="s">
        <v>161</v>
      </c>
      <c r="B38" s="153" t="s">
        <v>162</v>
      </c>
      <c r="C38" s="66">
        <f>C39</f>
        <v>9600</v>
      </c>
      <c r="D38" s="66">
        <f>D39</f>
        <v>0</v>
      </c>
      <c r="E38" s="66">
        <f>E39</f>
        <v>0</v>
      </c>
      <c r="F38" s="64">
        <f t="shared" si="0"/>
        <v>9600</v>
      </c>
    </row>
    <row r="39" spans="1:6" s="58" customFormat="1" ht="21" customHeight="1">
      <c r="A39" s="72">
        <v>21080000</v>
      </c>
      <c r="B39" s="75" t="s">
        <v>163</v>
      </c>
      <c r="C39" s="66">
        <f>C40</f>
        <v>9600</v>
      </c>
      <c r="D39" s="66">
        <v>0</v>
      </c>
      <c r="E39" s="66">
        <v>0</v>
      </c>
      <c r="F39" s="64">
        <f t="shared" si="0"/>
        <v>9600</v>
      </c>
    </row>
    <row r="40" spans="1:6" s="58" customFormat="1" ht="21" customHeight="1">
      <c r="A40" s="72">
        <v>21081100</v>
      </c>
      <c r="B40" s="67" t="s">
        <v>164</v>
      </c>
      <c r="C40" s="66">
        <v>9600</v>
      </c>
      <c r="D40" s="66">
        <v>0</v>
      </c>
      <c r="E40" s="66">
        <v>0</v>
      </c>
      <c r="F40" s="64">
        <f t="shared" si="0"/>
        <v>9600</v>
      </c>
    </row>
    <row r="41" spans="1:6" s="58" customFormat="1" ht="24" customHeight="1">
      <c r="A41" s="72">
        <v>25000000</v>
      </c>
      <c r="B41" s="67" t="s">
        <v>165</v>
      </c>
      <c r="C41" s="66">
        <v>0</v>
      </c>
      <c r="D41" s="66">
        <f>D42</f>
        <v>120284</v>
      </c>
      <c r="E41" s="66">
        <v>0</v>
      </c>
      <c r="F41" s="64">
        <f t="shared" si="0"/>
        <v>120284</v>
      </c>
    </row>
    <row r="42" spans="1:6" s="58" customFormat="1" ht="30.75" customHeight="1">
      <c r="A42" s="63">
        <v>25010000</v>
      </c>
      <c r="B42" s="76" t="s">
        <v>166</v>
      </c>
      <c r="C42" s="66">
        <v>0</v>
      </c>
      <c r="D42" s="66">
        <f>D43+D44</f>
        <v>120284</v>
      </c>
      <c r="E42" s="66">
        <v>0</v>
      </c>
      <c r="F42" s="64">
        <f t="shared" si="0"/>
        <v>120284</v>
      </c>
    </row>
    <row r="43" spans="1:6" s="58" customFormat="1" ht="32.25" customHeight="1">
      <c r="A43" s="63">
        <v>25010100</v>
      </c>
      <c r="B43" s="76" t="s">
        <v>167</v>
      </c>
      <c r="C43" s="66">
        <v>0</v>
      </c>
      <c r="D43" s="66">
        <f>1800+115000</f>
        <v>116800</v>
      </c>
      <c r="E43" s="66">
        <v>0</v>
      </c>
      <c r="F43" s="64">
        <f t="shared" si="0"/>
        <v>116800</v>
      </c>
    </row>
    <row r="44" spans="1:6" s="58" customFormat="1" ht="22.5" customHeight="1">
      <c r="A44" s="72">
        <v>25010300</v>
      </c>
      <c r="B44" s="65" t="s">
        <v>168</v>
      </c>
      <c r="C44" s="66">
        <v>0</v>
      </c>
      <c r="D44" s="66">
        <f>780+4+2700</f>
        <v>3484</v>
      </c>
      <c r="E44" s="66">
        <v>0</v>
      </c>
      <c r="F44" s="64">
        <f t="shared" si="0"/>
        <v>3484</v>
      </c>
    </row>
    <row r="45" spans="1:6" s="58" customFormat="1" ht="22.5" customHeight="1" hidden="1">
      <c r="A45" s="72">
        <v>30000000</v>
      </c>
      <c r="B45" s="62" t="s">
        <v>169</v>
      </c>
      <c r="C45" s="66">
        <f>C46</f>
        <v>0</v>
      </c>
      <c r="D45" s="66">
        <v>0</v>
      </c>
      <c r="E45" s="66">
        <v>0</v>
      </c>
      <c r="F45" s="64">
        <f t="shared" si="0"/>
        <v>0</v>
      </c>
    </row>
    <row r="46" spans="1:6" s="58" customFormat="1" ht="22.5" customHeight="1" hidden="1">
      <c r="A46" s="72">
        <v>31000000</v>
      </c>
      <c r="B46" s="65" t="s">
        <v>170</v>
      </c>
      <c r="C46" s="66">
        <f>C48</f>
        <v>0</v>
      </c>
      <c r="D46" s="66">
        <v>0</v>
      </c>
      <c r="E46" s="66">
        <v>0</v>
      </c>
      <c r="F46" s="64">
        <f t="shared" si="0"/>
        <v>0</v>
      </c>
    </row>
    <row r="47" spans="1:6" s="58" customFormat="1" ht="82.5" customHeight="1" hidden="1">
      <c r="A47" s="68" t="s">
        <v>171</v>
      </c>
      <c r="B47" s="74" t="s">
        <v>172</v>
      </c>
      <c r="C47" s="66">
        <f>C48</f>
        <v>0</v>
      </c>
      <c r="D47" s="66">
        <f>D48</f>
        <v>0</v>
      </c>
      <c r="E47" s="66">
        <f>E48</f>
        <v>0</v>
      </c>
      <c r="F47" s="64">
        <f t="shared" si="0"/>
        <v>0</v>
      </c>
    </row>
    <row r="48" spans="1:6" s="58" customFormat="1" ht="73.5" customHeight="1" hidden="1">
      <c r="A48" s="72">
        <v>31010200</v>
      </c>
      <c r="B48" s="74" t="s">
        <v>173</v>
      </c>
      <c r="C48" s="93"/>
      <c r="D48" s="66">
        <v>0</v>
      </c>
      <c r="E48" s="66">
        <v>0</v>
      </c>
      <c r="F48" s="64">
        <f t="shared" si="0"/>
        <v>0</v>
      </c>
    </row>
    <row r="49" spans="1:6" s="58" customFormat="1" ht="20.25" customHeight="1">
      <c r="A49" s="77"/>
      <c r="B49" s="63" t="s">
        <v>174</v>
      </c>
      <c r="C49" s="66">
        <f>C11+C37+C45</f>
        <v>8149500</v>
      </c>
      <c r="D49" s="66">
        <f>D11+D37+D45</f>
        <v>120284</v>
      </c>
      <c r="E49" s="66">
        <f>E11+E37+E45</f>
        <v>0</v>
      </c>
      <c r="F49" s="64">
        <f t="shared" si="0"/>
        <v>8269784</v>
      </c>
    </row>
    <row r="50" spans="1:6" s="58" customFormat="1" ht="21.75" customHeight="1">
      <c r="A50" s="77">
        <v>40000000</v>
      </c>
      <c r="B50" s="63" t="s">
        <v>175</v>
      </c>
      <c r="C50" s="66">
        <f>C51</f>
        <v>97575925.46</v>
      </c>
      <c r="D50" s="66">
        <f>D51</f>
        <v>0</v>
      </c>
      <c r="E50" s="66">
        <v>0</v>
      </c>
      <c r="F50" s="64">
        <f t="shared" si="0"/>
        <v>97575925.46</v>
      </c>
    </row>
    <row r="51" spans="1:6" s="58" customFormat="1" ht="21" customHeight="1">
      <c r="A51" s="72">
        <v>41000000</v>
      </c>
      <c r="B51" s="67" t="s">
        <v>176</v>
      </c>
      <c r="C51" s="66">
        <f>C52+C54</f>
        <v>97575925.46</v>
      </c>
      <c r="D51" s="66">
        <f>D52+D54</f>
        <v>0</v>
      </c>
      <c r="E51" s="66">
        <v>0</v>
      </c>
      <c r="F51" s="64">
        <f t="shared" si="0"/>
        <v>97575925.46</v>
      </c>
    </row>
    <row r="52" spans="1:6" s="58" customFormat="1" ht="21.75" customHeight="1">
      <c r="A52" s="72">
        <v>41020000</v>
      </c>
      <c r="B52" s="67" t="s">
        <v>177</v>
      </c>
      <c r="C52" s="66">
        <f>C53</f>
        <v>7872538</v>
      </c>
      <c r="D52" s="66">
        <v>0</v>
      </c>
      <c r="E52" s="66">
        <v>0</v>
      </c>
      <c r="F52" s="64">
        <f t="shared" si="0"/>
        <v>7872538</v>
      </c>
    </row>
    <row r="53" spans="1:6" s="58" customFormat="1" ht="52.5" customHeight="1">
      <c r="A53" s="72">
        <v>41020300</v>
      </c>
      <c r="B53" s="65" t="s">
        <v>178</v>
      </c>
      <c r="C53" s="66">
        <f>8067492+131424+15722-342100</f>
        <v>7872538</v>
      </c>
      <c r="D53" s="66">
        <v>0</v>
      </c>
      <c r="E53" s="66">
        <v>0</v>
      </c>
      <c r="F53" s="64">
        <f t="shared" si="0"/>
        <v>7872538</v>
      </c>
    </row>
    <row r="54" spans="1:6" s="58" customFormat="1" ht="20.25" customHeight="1">
      <c r="A54" s="72">
        <v>41030000</v>
      </c>
      <c r="B54" s="78" t="s">
        <v>179</v>
      </c>
      <c r="C54" s="66">
        <f>C55+C56+C57+C58+C59</f>
        <v>89703387.46</v>
      </c>
      <c r="D54" s="66">
        <f>D55+D58</f>
        <v>0</v>
      </c>
      <c r="E54" s="66">
        <f>E55+E58</f>
        <v>0</v>
      </c>
      <c r="F54" s="64">
        <f t="shared" si="0"/>
        <v>89703387.46</v>
      </c>
    </row>
    <row r="55" spans="1:6" s="58" customFormat="1" ht="70.5" customHeight="1">
      <c r="A55" s="72">
        <v>41030600</v>
      </c>
      <c r="B55" s="78" t="s">
        <v>180</v>
      </c>
      <c r="C55" s="66">
        <f>97669500-3957900-5587700+448700</f>
        <v>88572600</v>
      </c>
      <c r="D55" s="66">
        <v>0</v>
      </c>
      <c r="E55" s="66">
        <v>0</v>
      </c>
      <c r="F55" s="64">
        <f t="shared" si="0"/>
        <v>88572600</v>
      </c>
    </row>
    <row r="56" spans="1:6" s="58" customFormat="1" ht="255" customHeight="1">
      <c r="A56" s="72">
        <v>41030900</v>
      </c>
      <c r="B56" s="19" t="s">
        <v>190</v>
      </c>
      <c r="C56" s="66">
        <f>179265-43792.05-14212.49</f>
        <v>121260.46</v>
      </c>
      <c r="D56" s="66">
        <v>0</v>
      </c>
      <c r="E56" s="66">
        <v>0</v>
      </c>
      <c r="F56" s="64">
        <f t="shared" si="0"/>
        <v>121260.46</v>
      </c>
    </row>
    <row r="57" spans="1:6" s="58" customFormat="1" ht="69" customHeight="1" hidden="1">
      <c r="A57" s="72">
        <v>41035000</v>
      </c>
      <c r="B57" s="19" t="s">
        <v>272</v>
      </c>
      <c r="C57" s="66"/>
      <c r="D57" s="66">
        <v>0</v>
      </c>
      <c r="E57" s="66">
        <v>0</v>
      </c>
      <c r="F57" s="64">
        <f t="shared" si="0"/>
        <v>0</v>
      </c>
    </row>
    <row r="58" spans="1:6" s="58" customFormat="1" ht="125.25" customHeight="1">
      <c r="A58" s="77">
        <v>41035800</v>
      </c>
      <c r="B58" s="78" t="s">
        <v>181</v>
      </c>
      <c r="C58" s="71">
        <f>1165281-103064-52000-690</f>
        <v>1009527</v>
      </c>
      <c r="D58" s="71">
        <v>0</v>
      </c>
      <c r="E58" s="71">
        <v>0</v>
      </c>
      <c r="F58" s="64">
        <f t="shared" si="0"/>
        <v>1009527</v>
      </c>
    </row>
    <row r="59" spans="1:6" s="58" customFormat="1" ht="66.75" customHeight="1" hidden="1">
      <c r="A59" s="72">
        <v>41037000</v>
      </c>
      <c r="B59" s="78" t="s">
        <v>182</v>
      </c>
      <c r="C59" s="66"/>
      <c r="D59" s="66">
        <v>0</v>
      </c>
      <c r="E59" s="66">
        <v>0</v>
      </c>
      <c r="F59" s="64">
        <f t="shared" si="0"/>
        <v>0</v>
      </c>
    </row>
    <row r="60" spans="1:6" s="58" customFormat="1" ht="33" customHeight="1">
      <c r="A60" s="77"/>
      <c r="B60" s="63" t="s">
        <v>183</v>
      </c>
      <c r="C60" s="66">
        <f>C50+C49</f>
        <v>105725425.46</v>
      </c>
      <c r="D60" s="66">
        <f>D37+D50</f>
        <v>120284</v>
      </c>
      <c r="E60" s="66">
        <v>0</v>
      </c>
      <c r="F60" s="64">
        <f t="shared" si="0"/>
        <v>105845709.46</v>
      </c>
    </row>
    <row r="61" spans="1:6" ht="43.5" customHeight="1" hidden="1">
      <c r="A61" s="154" t="s">
        <v>184</v>
      </c>
      <c r="B61" s="154"/>
      <c r="C61" s="154"/>
      <c r="D61" s="154"/>
      <c r="E61" s="154"/>
      <c r="F61" s="154"/>
    </row>
    <row r="62" s="1" customFormat="1" ht="17.25">
      <c r="A62" s="32"/>
    </row>
    <row r="63" s="1" customFormat="1" ht="17.25">
      <c r="A63" s="32"/>
    </row>
    <row r="64" spans="3:5" ht="15">
      <c r="C64" s="79"/>
      <c r="D64" s="79"/>
      <c r="E64" s="80"/>
    </row>
    <row r="65" spans="2:5" s="35" customFormat="1" ht="25.5" hidden="1">
      <c r="B65" s="35" t="s">
        <v>110</v>
      </c>
      <c r="C65" s="81"/>
      <c r="D65" s="81"/>
      <c r="E65" s="82" t="s">
        <v>111</v>
      </c>
    </row>
    <row r="66" spans="3:5" ht="12.75">
      <c r="C66" s="83"/>
      <c r="D66" s="83"/>
      <c r="E66" s="83"/>
    </row>
    <row r="69" ht="16.5" customHeight="1"/>
    <row r="102" ht="12.75" hidden="1"/>
  </sheetData>
  <sheetProtection/>
  <mergeCells count="8">
    <mergeCell ref="A61:F61"/>
    <mergeCell ref="A6:F6"/>
    <mergeCell ref="A7:F7"/>
    <mergeCell ref="A9:A10"/>
    <mergeCell ref="B9:B10"/>
    <mergeCell ref="C9:C10"/>
    <mergeCell ref="D9:E9"/>
    <mergeCell ref="F9:F10"/>
  </mergeCells>
  <printOptions/>
  <pageMargins left="1.1811023622047245" right="0.4724409448818898" top="0.7874015748031497" bottom="0.7874015748031497" header="0.5118110236220472" footer="0.5118110236220472"/>
  <pageSetup horizontalDpi="600" verticalDpi="600" orientation="portrait" paperSize="9" scale="52" r:id="rId1"/>
  <headerFooter alignWithMargins="0">
    <oddHeader xml:space="preserve">&amp;C&amp;"Bookman Old Style,обычный"&amp;16 </oddHeader>
  </headerFooter>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1:N71"/>
  <sheetViews>
    <sheetView view="pageBreakPreview" zoomScale="50" zoomScaleSheetLayoutView="50" workbookViewId="0" topLeftCell="A1">
      <selection activeCell="A6" sqref="A6:M6"/>
    </sheetView>
  </sheetViews>
  <sheetFormatPr defaultColWidth="9.00390625" defaultRowHeight="12.75"/>
  <cols>
    <col min="1" max="1" width="15.25390625" style="1" customWidth="1"/>
    <col min="2" max="2" width="64.875" style="1" customWidth="1"/>
    <col min="3" max="3" width="21.875" style="1" customWidth="1"/>
    <col min="4" max="4" width="17.875" style="1" customWidth="1"/>
    <col min="5" max="5" width="16.375" style="1" customWidth="1"/>
    <col min="6" max="6" width="16.875" style="1" customWidth="1"/>
    <col min="7" max="7" width="16.00390625" style="1" customWidth="1"/>
    <col min="8" max="8" width="15.375" style="1" customWidth="1"/>
    <col min="9" max="9" width="13.25390625" style="1" customWidth="1"/>
    <col min="10" max="10" width="16.375" style="1" customWidth="1"/>
    <col min="11" max="11" width="16.125" style="1" customWidth="1"/>
    <col min="12" max="12" width="17.375" style="1" customWidth="1"/>
    <col min="13" max="13" width="21.125" style="1" customWidth="1"/>
    <col min="14" max="16384" width="9.125" style="1" customWidth="1"/>
  </cols>
  <sheetData>
    <row r="1" spans="1:14" s="9" customFormat="1" ht="23.25">
      <c r="A1" s="7"/>
      <c r="B1" s="7"/>
      <c r="C1" s="7"/>
      <c r="D1" s="7"/>
      <c r="E1" s="7"/>
      <c r="F1" s="7"/>
      <c r="G1" s="7"/>
      <c r="H1" s="7"/>
      <c r="I1" s="161" t="s">
        <v>29</v>
      </c>
      <c r="J1" s="161"/>
      <c r="K1" s="161"/>
      <c r="L1" s="161"/>
      <c r="M1" s="161"/>
      <c r="N1" s="8"/>
    </row>
    <row r="2" spans="1:14" s="9" customFormat="1" ht="22.5" customHeight="1">
      <c r="A2" s="10"/>
      <c r="B2" s="10"/>
      <c r="C2" s="10"/>
      <c r="D2" s="10"/>
      <c r="E2" s="10"/>
      <c r="F2" s="10"/>
      <c r="G2" s="10"/>
      <c r="H2" s="11"/>
      <c r="I2" s="162" t="s">
        <v>30</v>
      </c>
      <c r="J2" s="162"/>
      <c r="K2" s="162"/>
      <c r="L2" s="162"/>
      <c r="M2" s="162"/>
      <c r="N2" s="12"/>
    </row>
    <row r="3" spans="1:14" s="9" customFormat="1" ht="23.25">
      <c r="A3" s="10"/>
      <c r="B3" s="10"/>
      <c r="C3" s="10"/>
      <c r="D3" s="10"/>
      <c r="E3" s="10"/>
      <c r="F3" s="10"/>
      <c r="G3" s="10"/>
      <c r="H3" s="13"/>
      <c r="I3" s="161" t="s">
        <v>88</v>
      </c>
      <c r="J3" s="161"/>
      <c r="K3" s="161"/>
      <c r="L3" s="161"/>
      <c r="M3" s="161"/>
      <c r="N3" s="8"/>
    </row>
    <row r="4" spans="1:14" s="9" customFormat="1" ht="23.25">
      <c r="A4" s="10"/>
      <c r="B4" s="10"/>
      <c r="C4" s="10"/>
      <c r="D4" s="10"/>
      <c r="E4" s="10"/>
      <c r="F4" s="10"/>
      <c r="G4" s="10"/>
      <c r="H4" s="10"/>
      <c r="I4" s="161" t="s">
        <v>315</v>
      </c>
      <c r="J4" s="161"/>
      <c r="K4" s="161"/>
      <c r="L4" s="161"/>
      <c r="M4" s="161"/>
      <c r="N4" s="8"/>
    </row>
    <row r="5" spans="1:14" s="9" customFormat="1" ht="18">
      <c r="A5" s="10"/>
      <c r="B5" s="10"/>
      <c r="C5" s="10"/>
      <c r="D5" s="10"/>
      <c r="E5" s="10"/>
      <c r="F5" s="10"/>
      <c r="G5" s="10"/>
      <c r="H5" s="10"/>
      <c r="I5" s="10"/>
      <c r="J5" s="14"/>
      <c r="K5" s="15"/>
      <c r="L5" s="15"/>
      <c r="M5" s="15"/>
      <c r="N5" s="15"/>
    </row>
    <row r="6" spans="1:14" s="9" customFormat="1" ht="79.5" customHeight="1">
      <c r="A6" s="163" t="s">
        <v>292</v>
      </c>
      <c r="B6" s="163"/>
      <c r="C6" s="163"/>
      <c r="D6" s="163"/>
      <c r="E6" s="163"/>
      <c r="F6" s="163"/>
      <c r="G6" s="163"/>
      <c r="H6" s="163"/>
      <c r="I6" s="163"/>
      <c r="J6" s="163"/>
      <c r="K6" s="163"/>
      <c r="L6" s="163"/>
      <c r="M6" s="163"/>
      <c r="N6" s="16"/>
    </row>
    <row r="7" spans="1:14" s="9" customFormat="1" ht="18.75">
      <c r="A7" s="17" t="s">
        <v>31</v>
      </c>
      <c r="B7" s="17"/>
      <c r="C7" s="17"/>
      <c r="D7" s="17"/>
      <c r="E7" s="17"/>
      <c r="F7" s="17"/>
      <c r="G7" s="17"/>
      <c r="H7" s="17"/>
      <c r="I7" s="17"/>
      <c r="J7" s="17"/>
      <c r="K7" s="17"/>
      <c r="L7" s="17"/>
      <c r="M7" s="17"/>
      <c r="N7" s="3"/>
    </row>
    <row r="8" spans="12:13" ht="15">
      <c r="L8" s="3"/>
      <c r="M8" s="3" t="s">
        <v>32</v>
      </c>
    </row>
    <row r="9" spans="1:13" ht="15">
      <c r="A9" s="160" t="s">
        <v>0</v>
      </c>
      <c r="B9" s="160" t="s">
        <v>1</v>
      </c>
      <c r="C9" s="160" t="s">
        <v>2</v>
      </c>
      <c r="D9" s="160"/>
      <c r="E9" s="160"/>
      <c r="F9" s="160" t="s">
        <v>7</v>
      </c>
      <c r="G9" s="160"/>
      <c r="H9" s="160"/>
      <c r="I9" s="160"/>
      <c r="J9" s="160"/>
      <c r="K9" s="160"/>
      <c r="L9" s="160"/>
      <c r="M9" s="160" t="s">
        <v>12</v>
      </c>
    </row>
    <row r="10" spans="1:13" ht="15">
      <c r="A10" s="160"/>
      <c r="B10" s="160"/>
      <c r="C10" s="160" t="s">
        <v>3</v>
      </c>
      <c r="D10" s="160" t="s">
        <v>4</v>
      </c>
      <c r="E10" s="160"/>
      <c r="F10" s="160" t="s">
        <v>3</v>
      </c>
      <c r="G10" s="160" t="s">
        <v>8</v>
      </c>
      <c r="H10" s="160" t="s">
        <v>4</v>
      </c>
      <c r="I10" s="160"/>
      <c r="J10" s="160" t="s">
        <v>9</v>
      </c>
      <c r="K10" s="160" t="s">
        <v>4</v>
      </c>
      <c r="L10" s="160"/>
      <c r="M10" s="160"/>
    </row>
    <row r="11" spans="1:13" ht="15" customHeight="1">
      <c r="A11" s="160"/>
      <c r="B11" s="160"/>
      <c r="C11" s="160"/>
      <c r="D11" s="160" t="s">
        <v>5</v>
      </c>
      <c r="E11" s="160" t="s">
        <v>6</v>
      </c>
      <c r="F11" s="160"/>
      <c r="G11" s="160"/>
      <c r="H11" s="160" t="s">
        <v>5</v>
      </c>
      <c r="I11" s="160" t="s">
        <v>6</v>
      </c>
      <c r="J11" s="160"/>
      <c r="K11" s="160" t="s">
        <v>10</v>
      </c>
      <c r="L11" s="160" t="s">
        <v>11</v>
      </c>
      <c r="M11" s="160"/>
    </row>
    <row r="12" spans="1:13" ht="15" customHeight="1">
      <c r="A12" s="160"/>
      <c r="B12" s="160"/>
      <c r="C12" s="160"/>
      <c r="D12" s="160"/>
      <c r="E12" s="160"/>
      <c r="F12" s="160"/>
      <c r="G12" s="160"/>
      <c r="H12" s="160"/>
      <c r="I12" s="160"/>
      <c r="J12" s="160"/>
      <c r="K12" s="160"/>
      <c r="L12" s="160"/>
      <c r="M12" s="160"/>
    </row>
    <row r="13" spans="1:13" ht="135" customHeight="1">
      <c r="A13" s="160"/>
      <c r="B13" s="160"/>
      <c r="C13" s="160"/>
      <c r="D13" s="160"/>
      <c r="E13" s="160"/>
      <c r="F13" s="160"/>
      <c r="G13" s="160"/>
      <c r="H13" s="160"/>
      <c r="I13" s="160"/>
      <c r="J13" s="160"/>
      <c r="K13" s="160"/>
      <c r="L13" s="160"/>
      <c r="M13" s="160"/>
    </row>
    <row r="14" spans="1:13" ht="15">
      <c r="A14" s="18">
        <v>1</v>
      </c>
      <c r="B14" s="18">
        <v>2</v>
      </c>
      <c r="C14" s="18">
        <v>3</v>
      </c>
      <c r="D14" s="18">
        <v>4</v>
      </c>
      <c r="E14" s="18">
        <v>5</v>
      </c>
      <c r="F14" s="18">
        <v>6</v>
      </c>
      <c r="G14" s="18">
        <v>7</v>
      </c>
      <c r="H14" s="18">
        <v>8</v>
      </c>
      <c r="I14" s="18">
        <v>9</v>
      </c>
      <c r="J14" s="18">
        <v>10</v>
      </c>
      <c r="K14" s="18">
        <v>11</v>
      </c>
      <c r="L14" s="18">
        <v>12</v>
      </c>
      <c r="M14" s="18" t="s">
        <v>13</v>
      </c>
    </row>
    <row r="15" spans="1:13" ht="24" customHeight="1">
      <c r="A15" s="96" t="s">
        <v>33</v>
      </c>
      <c r="B15" s="97" t="s">
        <v>34</v>
      </c>
      <c r="C15" s="98">
        <f>C16</f>
        <v>9912608</v>
      </c>
      <c r="D15" s="98">
        <f aca="true" t="shared" si="0" ref="D15:M15">D16</f>
        <v>5987770</v>
      </c>
      <c r="E15" s="98">
        <f t="shared" si="0"/>
        <v>465270</v>
      </c>
      <c r="F15" s="98">
        <f t="shared" si="0"/>
        <v>290362.67</v>
      </c>
      <c r="G15" s="98">
        <f t="shared" si="0"/>
        <v>4</v>
      </c>
      <c r="H15" s="98">
        <f t="shared" si="0"/>
        <v>0</v>
      </c>
      <c r="I15" s="98">
        <f t="shared" si="0"/>
        <v>0</v>
      </c>
      <c r="J15" s="98">
        <f t="shared" si="0"/>
        <v>290358.67</v>
      </c>
      <c r="K15" s="98">
        <f t="shared" si="0"/>
        <v>290358.67</v>
      </c>
      <c r="L15" s="98">
        <f t="shared" si="0"/>
        <v>200000</v>
      </c>
      <c r="M15" s="98">
        <f t="shared" si="0"/>
        <v>10202970.67</v>
      </c>
    </row>
    <row r="16" spans="1:13" ht="22.5" customHeight="1">
      <c r="A16" s="96" t="s">
        <v>35</v>
      </c>
      <c r="B16" s="97" t="s">
        <v>36</v>
      </c>
      <c r="C16" s="98">
        <f>9875000+134986+15722-113100</f>
        <v>9912608</v>
      </c>
      <c r="D16" s="98">
        <f>6126230-138460</f>
        <v>5987770</v>
      </c>
      <c r="E16" s="98">
        <f>398270+67000</f>
        <v>465270</v>
      </c>
      <c r="F16" s="98">
        <f>G16+J16</f>
        <v>290362.67</v>
      </c>
      <c r="G16" s="98">
        <v>4</v>
      </c>
      <c r="H16" s="98"/>
      <c r="I16" s="98"/>
      <c r="J16" s="98">
        <f>K16</f>
        <v>290358.67</v>
      </c>
      <c r="K16" s="98">
        <f>L16+90358.67</f>
        <v>290358.67</v>
      </c>
      <c r="L16" s="98">
        <v>200000</v>
      </c>
      <c r="M16" s="98">
        <f>C16+F16</f>
        <v>10202970.67</v>
      </c>
    </row>
    <row r="17" spans="1:13" ht="19.5" customHeight="1">
      <c r="A17" s="96" t="s">
        <v>37</v>
      </c>
      <c r="B17" s="97" t="s">
        <v>38</v>
      </c>
      <c r="C17" s="98">
        <f>C18</f>
        <v>1009527</v>
      </c>
      <c r="D17" s="98"/>
      <c r="E17" s="98"/>
      <c r="F17" s="98"/>
      <c r="G17" s="98"/>
      <c r="H17" s="98"/>
      <c r="I17" s="98"/>
      <c r="J17" s="98"/>
      <c r="K17" s="98"/>
      <c r="L17" s="98"/>
      <c r="M17" s="98">
        <f>M18</f>
        <v>1009527</v>
      </c>
    </row>
    <row r="18" spans="1:13" ht="166.5" customHeight="1">
      <c r="A18" s="96"/>
      <c r="B18" s="99" t="s">
        <v>39</v>
      </c>
      <c r="C18" s="98">
        <f>C19</f>
        <v>1009527</v>
      </c>
      <c r="D18" s="98"/>
      <c r="E18" s="98"/>
      <c r="F18" s="98"/>
      <c r="G18" s="98"/>
      <c r="H18" s="98"/>
      <c r="I18" s="98"/>
      <c r="J18" s="98"/>
      <c r="K18" s="98"/>
      <c r="L18" s="98"/>
      <c r="M18" s="98">
        <f>M19</f>
        <v>1009527</v>
      </c>
    </row>
    <row r="19" spans="1:13" ht="34.5" customHeight="1">
      <c r="A19" s="96" t="s">
        <v>40</v>
      </c>
      <c r="B19" s="97" t="s">
        <v>41</v>
      </c>
      <c r="C19" s="98">
        <f>1165281-103064-52000-690</f>
        <v>1009527</v>
      </c>
      <c r="D19" s="98"/>
      <c r="E19" s="98"/>
      <c r="F19" s="98"/>
      <c r="G19" s="98"/>
      <c r="H19" s="98"/>
      <c r="I19" s="98"/>
      <c r="J19" s="98"/>
      <c r="K19" s="98"/>
      <c r="L19" s="98"/>
      <c r="M19" s="98">
        <f>C19+F19</f>
        <v>1009527</v>
      </c>
    </row>
    <row r="20" spans="1:13" ht="169.5" customHeight="1">
      <c r="A20" s="96"/>
      <c r="B20" s="99" t="s">
        <v>39</v>
      </c>
      <c r="C20" s="98">
        <f>C19</f>
        <v>1009527</v>
      </c>
      <c r="D20" s="98"/>
      <c r="E20" s="98"/>
      <c r="F20" s="98"/>
      <c r="G20" s="98"/>
      <c r="H20" s="98"/>
      <c r="I20" s="98"/>
      <c r="J20" s="98"/>
      <c r="K20" s="98"/>
      <c r="L20" s="98"/>
      <c r="M20" s="98">
        <f>M19</f>
        <v>1009527</v>
      </c>
    </row>
    <row r="21" spans="1:13" ht="24.75" customHeight="1">
      <c r="A21" s="100" t="s">
        <v>42</v>
      </c>
      <c r="B21" s="101" t="s">
        <v>43</v>
      </c>
      <c r="C21" s="98">
        <f>C23+C24+C43+C44+C45+C46+C47+C48+C49</f>
        <v>93345243.99999999</v>
      </c>
      <c r="D21" s="98">
        <f aca="true" t="shared" si="1" ref="D21:L21">D23+D24+D43+D44+D45+D46+D47+D48+D49</f>
        <v>2696136</v>
      </c>
      <c r="E21" s="98">
        <f t="shared" si="1"/>
        <v>185640</v>
      </c>
      <c r="F21" s="98">
        <f t="shared" si="1"/>
        <v>238960.46000000002</v>
      </c>
      <c r="G21" s="98">
        <f t="shared" si="1"/>
        <v>117700</v>
      </c>
      <c r="H21" s="98">
        <f t="shared" si="1"/>
        <v>77333</v>
      </c>
      <c r="I21" s="98">
        <f t="shared" si="1"/>
        <v>3136</v>
      </c>
      <c r="J21" s="98">
        <f t="shared" si="1"/>
        <v>121260.46</v>
      </c>
      <c r="K21" s="98">
        <f t="shared" si="1"/>
        <v>121260.46</v>
      </c>
      <c r="L21" s="98">
        <f t="shared" si="1"/>
        <v>121260.46</v>
      </c>
      <c r="M21" s="98">
        <f>C21+F21</f>
        <v>93584204.45999998</v>
      </c>
    </row>
    <row r="22" spans="1:13" ht="33.75" customHeight="1">
      <c r="A22" s="100"/>
      <c r="B22" s="102" t="s">
        <v>44</v>
      </c>
      <c r="C22" s="98"/>
      <c r="D22" s="98"/>
      <c r="E22" s="98"/>
      <c r="F22" s="98"/>
      <c r="G22" s="98"/>
      <c r="H22" s="98"/>
      <c r="I22" s="98"/>
      <c r="J22" s="98"/>
      <c r="K22" s="98"/>
      <c r="L22" s="98"/>
      <c r="M22" s="98"/>
    </row>
    <row r="23" spans="1:13" ht="73.5" customHeight="1">
      <c r="A23" s="103"/>
      <c r="B23" s="99" t="s">
        <v>45</v>
      </c>
      <c r="C23" s="98">
        <f>C27+C29+C31+C33+C35+C37+C39+C41+C50</f>
        <v>88572599.99999999</v>
      </c>
      <c r="D23" s="98"/>
      <c r="E23" s="98"/>
      <c r="F23" s="98"/>
      <c r="G23" s="98"/>
      <c r="H23" s="98"/>
      <c r="I23" s="98"/>
      <c r="J23" s="98"/>
      <c r="K23" s="98"/>
      <c r="L23" s="98"/>
      <c r="M23" s="98">
        <f aca="true" t="shared" si="2" ref="M23:M65">C23+F23</f>
        <v>88572599.99999999</v>
      </c>
    </row>
    <row r="24" spans="1:13" ht="281.25" customHeight="1">
      <c r="A24" s="103"/>
      <c r="B24" s="104" t="s">
        <v>194</v>
      </c>
      <c r="C24" s="98"/>
      <c r="D24" s="98"/>
      <c r="E24" s="98"/>
      <c r="F24" s="98">
        <f aca="true" t="shared" si="3" ref="F24:L24">F25</f>
        <v>121260.46</v>
      </c>
      <c r="G24" s="98"/>
      <c r="H24" s="98"/>
      <c r="I24" s="98"/>
      <c r="J24" s="98">
        <f t="shared" si="3"/>
        <v>121260.46</v>
      </c>
      <c r="K24" s="98">
        <f t="shared" si="3"/>
        <v>121260.46</v>
      </c>
      <c r="L24" s="98">
        <f t="shared" si="3"/>
        <v>121260.46</v>
      </c>
      <c r="M24" s="98">
        <f t="shared" si="2"/>
        <v>121260.46</v>
      </c>
    </row>
    <row r="25" spans="1:13" ht="255" customHeight="1">
      <c r="A25" s="103" t="s">
        <v>46</v>
      </c>
      <c r="B25" s="105" t="s">
        <v>113</v>
      </c>
      <c r="C25" s="98"/>
      <c r="D25" s="98"/>
      <c r="E25" s="98"/>
      <c r="F25" s="98">
        <f>G25+J25</f>
        <v>121260.46</v>
      </c>
      <c r="G25" s="98"/>
      <c r="H25" s="98"/>
      <c r="I25" s="98"/>
      <c r="J25" s="98">
        <f>K25</f>
        <v>121260.46</v>
      </c>
      <c r="K25" s="98">
        <f>L25</f>
        <v>121260.46</v>
      </c>
      <c r="L25" s="98">
        <f>179265-43792.05-14212.49</f>
        <v>121260.46</v>
      </c>
      <c r="M25" s="98">
        <f t="shared" si="2"/>
        <v>121260.46</v>
      </c>
    </row>
    <row r="26" spans="1:13" ht="325.5" customHeight="1">
      <c r="A26" s="103"/>
      <c r="B26" s="104" t="s">
        <v>192</v>
      </c>
      <c r="C26" s="98"/>
      <c r="D26" s="98"/>
      <c r="E26" s="98"/>
      <c r="F26" s="98">
        <f aca="true" t="shared" si="4" ref="F26:L26">F25</f>
        <v>121260.46</v>
      </c>
      <c r="G26" s="98"/>
      <c r="H26" s="98"/>
      <c r="I26" s="98"/>
      <c r="J26" s="98">
        <f t="shared" si="4"/>
        <v>121260.46</v>
      </c>
      <c r="K26" s="98">
        <f t="shared" si="4"/>
        <v>121260.46</v>
      </c>
      <c r="L26" s="98">
        <f t="shared" si="4"/>
        <v>121260.46</v>
      </c>
      <c r="M26" s="98">
        <f t="shared" si="2"/>
        <v>121260.46</v>
      </c>
    </row>
    <row r="27" spans="1:13" ht="27.75" customHeight="1">
      <c r="A27" s="103" t="s">
        <v>47</v>
      </c>
      <c r="B27" s="104" t="s">
        <v>48</v>
      </c>
      <c r="C27" s="98">
        <f>1186363-180000</f>
        <v>1006363</v>
      </c>
      <c r="D27" s="98"/>
      <c r="E27" s="98"/>
      <c r="F27" s="98"/>
      <c r="G27" s="98"/>
      <c r="H27" s="98"/>
      <c r="I27" s="98"/>
      <c r="J27" s="98"/>
      <c r="K27" s="98"/>
      <c r="L27" s="98"/>
      <c r="M27" s="98">
        <f t="shared" si="2"/>
        <v>1006363</v>
      </c>
    </row>
    <row r="28" spans="1:13" ht="98.25" customHeight="1">
      <c r="A28" s="103"/>
      <c r="B28" s="99" t="s">
        <v>49</v>
      </c>
      <c r="C28" s="98">
        <f>C27</f>
        <v>1006363</v>
      </c>
      <c r="D28" s="98"/>
      <c r="E28" s="98"/>
      <c r="F28" s="98"/>
      <c r="G28" s="98"/>
      <c r="H28" s="98"/>
      <c r="I28" s="98"/>
      <c r="J28" s="98"/>
      <c r="K28" s="98"/>
      <c r="L28" s="98"/>
      <c r="M28" s="98">
        <f t="shared" si="2"/>
        <v>1006363</v>
      </c>
    </row>
    <row r="29" spans="1:13" ht="32.25" customHeight="1">
      <c r="A29" s="103" t="s">
        <v>50</v>
      </c>
      <c r="B29" s="104" t="s">
        <v>51</v>
      </c>
      <c r="C29" s="98">
        <f>12223464-1534100-3950000-1014475-993949.49</f>
        <v>4730939.51</v>
      </c>
      <c r="D29" s="98"/>
      <c r="E29" s="98"/>
      <c r="F29" s="98"/>
      <c r="G29" s="98"/>
      <c r="H29" s="98"/>
      <c r="I29" s="98"/>
      <c r="J29" s="98"/>
      <c r="K29" s="98"/>
      <c r="L29" s="98"/>
      <c r="M29" s="98">
        <f t="shared" si="2"/>
        <v>4730939.51</v>
      </c>
    </row>
    <row r="30" spans="1:13" ht="102" customHeight="1">
      <c r="A30" s="103"/>
      <c r="B30" s="99" t="s">
        <v>49</v>
      </c>
      <c r="C30" s="98">
        <f>C29</f>
        <v>4730939.51</v>
      </c>
      <c r="D30" s="98"/>
      <c r="E30" s="98"/>
      <c r="F30" s="98"/>
      <c r="G30" s="98"/>
      <c r="H30" s="98"/>
      <c r="I30" s="98"/>
      <c r="J30" s="98"/>
      <c r="K30" s="98"/>
      <c r="L30" s="98"/>
      <c r="M30" s="98">
        <f t="shared" si="2"/>
        <v>4730939.51</v>
      </c>
    </row>
    <row r="31" spans="1:13" ht="24.75" customHeight="1">
      <c r="A31" s="103" t="s">
        <v>52</v>
      </c>
      <c r="B31" s="104" t="s">
        <v>53</v>
      </c>
      <c r="C31" s="98">
        <f>53616140-1920200-1637700+400000+230000</f>
        <v>50688240</v>
      </c>
      <c r="D31" s="98"/>
      <c r="E31" s="98"/>
      <c r="F31" s="98"/>
      <c r="G31" s="98"/>
      <c r="H31" s="98"/>
      <c r="I31" s="98"/>
      <c r="J31" s="98"/>
      <c r="K31" s="98"/>
      <c r="L31" s="98"/>
      <c r="M31" s="98">
        <f t="shared" si="2"/>
        <v>50688240</v>
      </c>
    </row>
    <row r="32" spans="1:13" ht="100.5" customHeight="1">
      <c r="A32" s="103"/>
      <c r="B32" s="99" t="s">
        <v>49</v>
      </c>
      <c r="C32" s="98">
        <f>C31</f>
        <v>50688240</v>
      </c>
      <c r="D32" s="98"/>
      <c r="E32" s="98"/>
      <c r="F32" s="98"/>
      <c r="G32" s="98"/>
      <c r="H32" s="98"/>
      <c r="I32" s="98"/>
      <c r="J32" s="98"/>
      <c r="K32" s="98"/>
      <c r="L32" s="98"/>
      <c r="M32" s="98">
        <f t="shared" si="2"/>
        <v>50688240</v>
      </c>
    </row>
    <row r="33" spans="1:13" ht="34.5" customHeight="1">
      <c r="A33" s="103" t="s">
        <v>54</v>
      </c>
      <c r="B33" s="104" t="s">
        <v>55</v>
      </c>
      <c r="C33" s="98">
        <f>5816040-272000-367122</f>
        <v>5176918</v>
      </c>
      <c r="D33" s="98"/>
      <c r="E33" s="98"/>
      <c r="F33" s="98"/>
      <c r="G33" s="98"/>
      <c r="H33" s="98"/>
      <c r="I33" s="98"/>
      <c r="J33" s="98"/>
      <c r="K33" s="98"/>
      <c r="L33" s="98"/>
      <c r="M33" s="98">
        <f t="shared" si="2"/>
        <v>5176918</v>
      </c>
    </row>
    <row r="34" spans="1:13" ht="99.75" customHeight="1">
      <c r="A34" s="103"/>
      <c r="B34" s="99" t="s">
        <v>49</v>
      </c>
      <c r="C34" s="98">
        <f>C33</f>
        <v>5176918</v>
      </c>
      <c r="D34" s="98"/>
      <c r="E34" s="98"/>
      <c r="F34" s="98"/>
      <c r="G34" s="98"/>
      <c r="H34" s="98"/>
      <c r="I34" s="98"/>
      <c r="J34" s="98"/>
      <c r="K34" s="98"/>
      <c r="L34" s="98"/>
      <c r="M34" s="98">
        <f t="shared" si="2"/>
        <v>5176918</v>
      </c>
    </row>
    <row r="35" spans="1:13" ht="24" customHeight="1">
      <c r="A35" s="103" t="s">
        <v>56</v>
      </c>
      <c r="B35" s="104" t="s">
        <v>57</v>
      </c>
      <c r="C35" s="98">
        <f>10119396+199272+50000+18700</f>
        <v>10387368</v>
      </c>
      <c r="D35" s="98"/>
      <c r="E35" s="98"/>
      <c r="F35" s="98"/>
      <c r="G35" s="98"/>
      <c r="H35" s="98"/>
      <c r="I35" s="98"/>
      <c r="J35" s="98"/>
      <c r="K35" s="98"/>
      <c r="L35" s="98"/>
      <c r="M35" s="98">
        <f t="shared" si="2"/>
        <v>10387368</v>
      </c>
    </row>
    <row r="36" spans="1:13" ht="101.25" customHeight="1">
      <c r="A36" s="103"/>
      <c r="B36" s="99" t="s">
        <v>49</v>
      </c>
      <c r="C36" s="98">
        <f>C35</f>
        <v>10387368</v>
      </c>
      <c r="D36" s="98"/>
      <c r="E36" s="98"/>
      <c r="F36" s="98"/>
      <c r="G36" s="98"/>
      <c r="H36" s="98"/>
      <c r="I36" s="98"/>
      <c r="J36" s="98"/>
      <c r="K36" s="98"/>
      <c r="L36" s="98"/>
      <c r="M36" s="98">
        <f t="shared" si="2"/>
        <v>10387368</v>
      </c>
    </row>
    <row r="37" spans="1:13" ht="25.5" customHeight="1">
      <c r="A37" s="106" t="s">
        <v>58</v>
      </c>
      <c r="B37" s="107" t="s">
        <v>59</v>
      </c>
      <c r="C37" s="98">
        <f>782514-30000+20000</f>
        <v>772514</v>
      </c>
      <c r="D37" s="98"/>
      <c r="E37" s="98"/>
      <c r="F37" s="98"/>
      <c r="G37" s="98"/>
      <c r="H37" s="98"/>
      <c r="I37" s="98"/>
      <c r="J37" s="98"/>
      <c r="K37" s="98"/>
      <c r="L37" s="98"/>
      <c r="M37" s="98">
        <f t="shared" si="2"/>
        <v>772514</v>
      </c>
    </row>
    <row r="38" spans="1:13" ht="81.75" customHeight="1">
      <c r="A38" s="106"/>
      <c r="B38" s="99" t="s">
        <v>49</v>
      </c>
      <c r="C38" s="98">
        <f>C37</f>
        <v>772514</v>
      </c>
      <c r="D38" s="98"/>
      <c r="E38" s="98"/>
      <c r="F38" s="98"/>
      <c r="G38" s="98"/>
      <c r="H38" s="98"/>
      <c r="I38" s="98"/>
      <c r="J38" s="98"/>
      <c r="K38" s="98"/>
      <c r="L38" s="98"/>
      <c r="M38" s="98">
        <f t="shared" si="2"/>
        <v>772514</v>
      </c>
    </row>
    <row r="39" spans="1:13" ht="26.25" customHeight="1">
      <c r="A39" s="106" t="s">
        <v>60</v>
      </c>
      <c r="B39" s="107" t="s">
        <v>61</v>
      </c>
      <c r="C39" s="98">
        <f>145632-21600-23075+21973.55</f>
        <v>122930.55</v>
      </c>
      <c r="D39" s="98"/>
      <c r="E39" s="98"/>
      <c r="F39" s="98"/>
      <c r="G39" s="98"/>
      <c r="H39" s="98"/>
      <c r="I39" s="98"/>
      <c r="J39" s="98"/>
      <c r="K39" s="98"/>
      <c r="L39" s="98"/>
      <c r="M39" s="98">
        <f t="shared" si="2"/>
        <v>122930.55</v>
      </c>
    </row>
    <row r="40" spans="1:13" ht="102" customHeight="1">
      <c r="A40" s="106"/>
      <c r="B40" s="99" t="s">
        <v>49</v>
      </c>
      <c r="C40" s="98">
        <f>C39</f>
        <v>122930.55</v>
      </c>
      <c r="D40" s="98"/>
      <c r="E40" s="98"/>
      <c r="F40" s="98"/>
      <c r="G40" s="98"/>
      <c r="H40" s="98"/>
      <c r="I40" s="98"/>
      <c r="J40" s="98"/>
      <c r="K40" s="98"/>
      <c r="L40" s="98"/>
      <c r="M40" s="98">
        <f t="shared" si="2"/>
        <v>122930.55</v>
      </c>
    </row>
    <row r="41" spans="1:13" ht="33.75" customHeight="1">
      <c r="A41" s="103" t="s">
        <v>62</v>
      </c>
      <c r="B41" s="104" t="s">
        <v>63</v>
      </c>
      <c r="C41" s="98">
        <f>4920160+1205400+501975.94+200000-2489.49</f>
        <v>6825046.45</v>
      </c>
      <c r="D41" s="98"/>
      <c r="E41" s="98"/>
      <c r="F41" s="98"/>
      <c r="G41" s="98"/>
      <c r="H41" s="98"/>
      <c r="I41" s="98"/>
      <c r="J41" s="98"/>
      <c r="K41" s="98"/>
      <c r="L41" s="98"/>
      <c r="M41" s="98">
        <f t="shared" si="2"/>
        <v>6825046.45</v>
      </c>
    </row>
    <row r="42" spans="1:13" ht="104.25" customHeight="1">
      <c r="A42" s="103"/>
      <c r="B42" s="99" t="s">
        <v>49</v>
      </c>
      <c r="C42" s="98">
        <f>C41</f>
        <v>6825046.45</v>
      </c>
      <c r="D42" s="98"/>
      <c r="E42" s="98"/>
      <c r="F42" s="98"/>
      <c r="G42" s="98"/>
      <c r="H42" s="98"/>
      <c r="I42" s="98"/>
      <c r="J42" s="98"/>
      <c r="K42" s="98"/>
      <c r="L42" s="98"/>
      <c r="M42" s="98">
        <f t="shared" si="2"/>
        <v>6825046.45</v>
      </c>
    </row>
    <row r="43" spans="1:13" ht="22.5" customHeight="1">
      <c r="A43" s="108" t="s">
        <v>64</v>
      </c>
      <c r="B43" s="99" t="s">
        <v>65</v>
      </c>
      <c r="C43" s="98">
        <f>223531+131424+34000</f>
        <v>388955</v>
      </c>
      <c r="D43" s="98"/>
      <c r="E43" s="98"/>
      <c r="F43" s="98"/>
      <c r="G43" s="98"/>
      <c r="H43" s="98"/>
      <c r="I43" s="98"/>
      <c r="J43" s="98"/>
      <c r="K43" s="98"/>
      <c r="L43" s="98"/>
      <c r="M43" s="98">
        <f t="shared" si="2"/>
        <v>388955</v>
      </c>
    </row>
    <row r="44" spans="1:13" ht="25.5" customHeight="1">
      <c r="A44" s="96" t="s">
        <v>66</v>
      </c>
      <c r="B44" s="97" t="s">
        <v>112</v>
      </c>
      <c r="C44" s="98">
        <v>34700</v>
      </c>
      <c r="D44" s="98"/>
      <c r="E44" s="98"/>
      <c r="F44" s="98"/>
      <c r="G44" s="98"/>
      <c r="H44" s="98"/>
      <c r="I44" s="98"/>
      <c r="J44" s="98"/>
      <c r="K44" s="98"/>
      <c r="L44" s="98"/>
      <c r="M44" s="98">
        <f t="shared" si="2"/>
        <v>34700</v>
      </c>
    </row>
    <row r="45" spans="1:13" ht="36" customHeight="1">
      <c r="A45" s="108" t="s">
        <v>67</v>
      </c>
      <c r="B45" s="99" t="s">
        <v>68</v>
      </c>
      <c r="C45" s="98">
        <f>6200+1572</f>
        <v>7772</v>
      </c>
      <c r="D45" s="98"/>
      <c r="E45" s="98"/>
      <c r="F45" s="98"/>
      <c r="G45" s="98"/>
      <c r="H45" s="98"/>
      <c r="I45" s="98"/>
      <c r="J45" s="98"/>
      <c r="K45" s="98"/>
      <c r="L45" s="98"/>
      <c r="M45" s="98">
        <f t="shared" si="2"/>
        <v>7772</v>
      </c>
    </row>
    <row r="46" spans="1:13" ht="48" customHeight="1">
      <c r="A46" s="108" t="s">
        <v>69</v>
      </c>
      <c r="B46" s="99" t="s">
        <v>70</v>
      </c>
      <c r="C46" s="98">
        <f>4200+1150</f>
        <v>5350</v>
      </c>
      <c r="D46" s="98"/>
      <c r="E46" s="98"/>
      <c r="F46" s="98"/>
      <c r="G46" s="98"/>
      <c r="H46" s="98"/>
      <c r="I46" s="98"/>
      <c r="J46" s="98"/>
      <c r="K46" s="98"/>
      <c r="L46" s="98"/>
      <c r="M46" s="98">
        <f t="shared" si="2"/>
        <v>5350</v>
      </c>
    </row>
    <row r="47" spans="1:13" ht="38.25" customHeight="1">
      <c r="A47" s="108" t="s">
        <v>71</v>
      </c>
      <c r="B47" s="99" t="s">
        <v>72</v>
      </c>
      <c r="C47" s="98">
        <f>13000+10000</f>
        <v>23000</v>
      </c>
      <c r="D47" s="98"/>
      <c r="E47" s="98"/>
      <c r="F47" s="98"/>
      <c r="G47" s="98"/>
      <c r="H47" s="98"/>
      <c r="I47" s="98"/>
      <c r="J47" s="98"/>
      <c r="K47" s="98"/>
      <c r="L47" s="98"/>
      <c r="M47" s="98">
        <f t="shared" si="2"/>
        <v>23000</v>
      </c>
    </row>
    <row r="48" spans="1:13" ht="32.25" customHeight="1">
      <c r="A48" s="103" t="s">
        <v>73</v>
      </c>
      <c r="B48" s="99" t="s">
        <v>114</v>
      </c>
      <c r="C48" s="98">
        <f>4284141+30006-179000</f>
        <v>4135147</v>
      </c>
      <c r="D48" s="98">
        <f>2830839-134703</f>
        <v>2696136</v>
      </c>
      <c r="E48" s="98">
        <f>180840+4800</f>
        <v>185640</v>
      </c>
      <c r="F48" s="98">
        <f>G48+J48</f>
        <v>117700</v>
      </c>
      <c r="G48" s="98">
        <v>117700</v>
      </c>
      <c r="H48" s="98">
        <v>77333</v>
      </c>
      <c r="I48" s="98">
        <v>3136</v>
      </c>
      <c r="J48" s="98">
        <f>K48</f>
        <v>0</v>
      </c>
      <c r="K48" s="98"/>
      <c r="L48" s="98"/>
      <c r="M48" s="98">
        <f t="shared" si="2"/>
        <v>4252847</v>
      </c>
    </row>
    <row r="49" spans="1:13" ht="98.25" customHeight="1">
      <c r="A49" s="103" t="s">
        <v>115</v>
      </c>
      <c r="B49" s="105" t="s">
        <v>116</v>
      </c>
      <c r="C49" s="98">
        <f>184120-6400</f>
        <v>177720</v>
      </c>
      <c r="D49" s="98"/>
      <c r="E49" s="98"/>
      <c r="F49" s="98"/>
      <c r="G49" s="98"/>
      <c r="H49" s="98"/>
      <c r="I49" s="98"/>
      <c r="J49" s="98"/>
      <c r="K49" s="98"/>
      <c r="L49" s="98"/>
      <c r="M49" s="98">
        <f t="shared" si="2"/>
        <v>177720</v>
      </c>
    </row>
    <row r="50" spans="1:13" ht="34.5" customHeight="1">
      <c r="A50" s="108" t="s">
        <v>74</v>
      </c>
      <c r="B50" s="99" t="s">
        <v>75</v>
      </c>
      <c r="C50" s="98">
        <f>8859791+2489.49</f>
        <v>8862280.49</v>
      </c>
      <c r="D50" s="98"/>
      <c r="E50" s="98"/>
      <c r="F50" s="98"/>
      <c r="G50" s="98"/>
      <c r="H50" s="98"/>
      <c r="I50" s="98"/>
      <c r="J50" s="98"/>
      <c r="K50" s="98"/>
      <c r="L50" s="98"/>
      <c r="M50" s="98">
        <f t="shared" si="2"/>
        <v>8862280.49</v>
      </c>
    </row>
    <row r="51" spans="1:13" ht="99.75" customHeight="1">
      <c r="A51" s="108"/>
      <c r="B51" s="99" t="s">
        <v>49</v>
      </c>
      <c r="C51" s="98">
        <f>C50</f>
        <v>8862280.49</v>
      </c>
      <c r="D51" s="98"/>
      <c r="E51" s="98"/>
      <c r="F51" s="98"/>
      <c r="G51" s="98"/>
      <c r="H51" s="98"/>
      <c r="I51" s="98"/>
      <c r="J51" s="98"/>
      <c r="K51" s="98"/>
      <c r="L51" s="98"/>
      <c r="M51" s="98">
        <f t="shared" si="2"/>
        <v>8862280.49</v>
      </c>
    </row>
    <row r="52" spans="1:13" ht="17.25" customHeight="1" hidden="1">
      <c r="A52" s="108" t="s">
        <v>285</v>
      </c>
      <c r="B52" s="99" t="s">
        <v>286</v>
      </c>
      <c r="C52" s="98">
        <f>C53</f>
        <v>0</v>
      </c>
      <c r="D52" s="98"/>
      <c r="E52" s="98"/>
      <c r="F52" s="98"/>
      <c r="G52" s="98"/>
      <c r="H52" s="98"/>
      <c r="I52" s="98"/>
      <c r="J52" s="98"/>
      <c r="K52" s="98"/>
      <c r="L52" s="98"/>
      <c r="M52" s="98">
        <f t="shared" si="2"/>
        <v>0</v>
      </c>
    </row>
    <row r="53" spans="1:13" ht="24.75" customHeight="1" hidden="1">
      <c r="A53" s="108" t="s">
        <v>287</v>
      </c>
      <c r="B53" s="99" t="s">
        <v>288</v>
      </c>
      <c r="C53" s="98">
        <v>0</v>
      </c>
      <c r="D53" s="98"/>
      <c r="E53" s="98"/>
      <c r="F53" s="98"/>
      <c r="G53" s="98"/>
      <c r="H53" s="98"/>
      <c r="I53" s="98"/>
      <c r="J53" s="98"/>
      <c r="K53" s="98"/>
      <c r="L53" s="98"/>
      <c r="M53" s="98">
        <f t="shared" si="2"/>
        <v>0</v>
      </c>
    </row>
    <row r="54" spans="1:13" ht="24" customHeight="1">
      <c r="A54" s="96" t="s">
        <v>76</v>
      </c>
      <c r="B54" s="97" t="s">
        <v>77</v>
      </c>
      <c r="C54" s="98">
        <f>C55</f>
        <v>70300</v>
      </c>
      <c r="D54" s="98"/>
      <c r="E54" s="98"/>
      <c r="F54" s="98"/>
      <c r="G54" s="98"/>
      <c r="H54" s="98"/>
      <c r="I54" s="98"/>
      <c r="J54" s="98"/>
      <c r="K54" s="98"/>
      <c r="L54" s="98"/>
      <c r="M54" s="98">
        <f t="shared" si="2"/>
        <v>70300</v>
      </c>
    </row>
    <row r="55" spans="1:13" ht="30.75" customHeight="1">
      <c r="A55" s="109" t="s">
        <v>78</v>
      </c>
      <c r="B55" s="110" t="s">
        <v>79</v>
      </c>
      <c r="C55" s="98">
        <f>52300+28000-10000</f>
        <v>70300</v>
      </c>
      <c r="D55" s="98"/>
      <c r="E55" s="98"/>
      <c r="F55" s="98"/>
      <c r="G55" s="98"/>
      <c r="H55" s="98"/>
      <c r="I55" s="98"/>
      <c r="J55" s="98"/>
      <c r="K55" s="98"/>
      <c r="L55" s="98"/>
      <c r="M55" s="98">
        <f t="shared" si="2"/>
        <v>70300</v>
      </c>
    </row>
    <row r="56" spans="1:13" ht="21.75" customHeight="1">
      <c r="A56" s="96" t="s">
        <v>80</v>
      </c>
      <c r="B56" s="97" t="s">
        <v>81</v>
      </c>
      <c r="C56" s="98">
        <f>C57+C58</f>
        <v>1285200</v>
      </c>
      <c r="D56" s="98">
        <f aca="true" t="shared" si="5" ref="D56:L56">D57+D58</f>
        <v>758699</v>
      </c>
      <c r="E56" s="98">
        <f t="shared" si="5"/>
        <v>87762</v>
      </c>
      <c r="F56" s="98">
        <f t="shared" si="5"/>
        <v>26178.97</v>
      </c>
      <c r="G56" s="98">
        <f t="shared" si="5"/>
        <v>2580</v>
      </c>
      <c r="H56" s="98">
        <f t="shared" si="5"/>
        <v>0</v>
      </c>
      <c r="I56" s="98">
        <f t="shared" si="5"/>
        <v>1908</v>
      </c>
      <c r="J56" s="98">
        <f t="shared" si="5"/>
        <v>23598.97</v>
      </c>
      <c r="K56" s="98">
        <f t="shared" si="5"/>
        <v>23598.97</v>
      </c>
      <c r="L56" s="98">
        <f t="shared" si="5"/>
        <v>0</v>
      </c>
      <c r="M56" s="98">
        <f t="shared" si="2"/>
        <v>1311378.97</v>
      </c>
    </row>
    <row r="57" spans="1:13" ht="32.25" customHeight="1">
      <c r="A57" s="108" t="s">
        <v>82</v>
      </c>
      <c r="B57" s="110" t="s">
        <v>83</v>
      </c>
      <c r="C57" s="98">
        <f>16100+4450</f>
        <v>20550</v>
      </c>
      <c r="D57" s="98"/>
      <c r="E57" s="98"/>
      <c r="F57" s="98"/>
      <c r="G57" s="98"/>
      <c r="H57" s="98"/>
      <c r="I57" s="98"/>
      <c r="J57" s="98"/>
      <c r="K57" s="98"/>
      <c r="L57" s="98"/>
      <c r="M57" s="98">
        <f t="shared" si="2"/>
        <v>20550</v>
      </c>
    </row>
    <row r="58" spans="1:13" ht="32.25" customHeight="1">
      <c r="A58" s="108" t="s">
        <v>84</v>
      </c>
      <c r="B58" s="99" t="s">
        <v>85</v>
      </c>
      <c r="C58" s="98">
        <f>1286700+11550-33600</f>
        <v>1264650</v>
      </c>
      <c r="D58" s="98">
        <f>792375-33676</f>
        <v>758699</v>
      </c>
      <c r="E58" s="98">
        <f>75462+12300</f>
        <v>87762</v>
      </c>
      <c r="F58" s="98">
        <f>G58+J58</f>
        <v>26178.97</v>
      </c>
      <c r="G58" s="98">
        <v>2580</v>
      </c>
      <c r="H58" s="98"/>
      <c r="I58" s="98">
        <v>1908</v>
      </c>
      <c r="J58" s="98">
        <f>K58</f>
        <v>23598.97</v>
      </c>
      <c r="K58" s="98">
        <v>23598.97</v>
      </c>
      <c r="L58" s="98"/>
      <c r="M58" s="98">
        <f t="shared" si="2"/>
        <v>1290828.97</v>
      </c>
    </row>
    <row r="59" spans="1:13" ht="32.25" customHeight="1">
      <c r="A59" s="108" t="s">
        <v>284</v>
      </c>
      <c r="B59" s="99" t="s">
        <v>283</v>
      </c>
      <c r="C59" s="98"/>
      <c r="D59" s="98"/>
      <c r="E59" s="98"/>
      <c r="F59" s="98">
        <f>G59+J59</f>
        <v>74363.29</v>
      </c>
      <c r="G59" s="98">
        <f aca="true" t="shared" si="6" ref="G59:L59">G60</f>
        <v>0</v>
      </c>
      <c r="H59" s="98">
        <f t="shared" si="6"/>
        <v>0</v>
      </c>
      <c r="I59" s="98">
        <f t="shared" si="6"/>
        <v>0</v>
      </c>
      <c r="J59" s="98">
        <f>K59</f>
        <v>74363.29</v>
      </c>
      <c r="K59" s="98">
        <f t="shared" si="6"/>
        <v>74363.29</v>
      </c>
      <c r="L59" s="98">
        <f t="shared" si="6"/>
        <v>0</v>
      </c>
      <c r="M59" s="98">
        <f t="shared" si="2"/>
        <v>74363.29</v>
      </c>
    </row>
    <row r="60" spans="1:13" ht="27" customHeight="1">
      <c r="A60" s="108" t="s">
        <v>277</v>
      </c>
      <c r="B60" s="99" t="s">
        <v>278</v>
      </c>
      <c r="C60" s="98"/>
      <c r="D60" s="98"/>
      <c r="E60" s="98"/>
      <c r="F60" s="98">
        <f>G60+J60</f>
        <v>74363.29</v>
      </c>
      <c r="G60" s="98"/>
      <c r="H60" s="98"/>
      <c r="I60" s="98"/>
      <c r="J60" s="98">
        <f>K60</f>
        <v>74363.29</v>
      </c>
      <c r="K60" s="98">
        <v>74363.29</v>
      </c>
      <c r="L60" s="98"/>
      <c r="M60" s="98">
        <f>C59+F60</f>
        <v>74363.29</v>
      </c>
    </row>
    <row r="61" spans="1:13" ht="21" customHeight="1">
      <c r="A61" s="108" t="s">
        <v>263</v>
      </c>
      <c r="B61" s="99" t="s">
        <v>264</v>
      </c>
      <c r="C61" s="98">
        <f>C64</f>
        <v>3000</v>
      </c>
      <c r="D61" s="98">
        <f aca="true" t="shared" si="7" ref="D61:L61">D64</f>
        <v>0</v>
      </c>
      <c r="E61" s="98">
        <f t="shared" si="7"/>
        <v>0</v>
      </c>
      <c r="F61" s="98">
        <f t="shared" si="7"/>
        <v>0</v>
      </c>
      <c r="G61" s="98">
        <f t="shared" si="7"/>
        <v>0</v>
      </c>
      <c r="H61" s="98">
        <f t="shared" si="7"/>
        <v>0</v>
      </c>
      <c r="I61" s="98">
        <f t="shared" si="7"/>
        <v>0</v>
      </c>
      <c r="J61" s="98">
        <f t="shared" si="7"/>
        <v>0</v>
      </c>
      <c r="K61" s="98">
        <f t="shared" si="7"/>
        <v>0</v>
      </c>
      <c r="L61" s="98">
        <f t="shared" si="7"/>
        <v>0</v>
      </c>
      <c r="M61" s="98">
        <f t="shared" si="2"/>
        <v>3000</v>
      </c>
    </row>
    <row r="62" spans="1:13" ht="66" customHeight="1" hidden="1">
      <c r="A62" s="108" t="s">
        <v>265</v>
      </c>
      <c r="B62" s="99" t="s">
        <v>266</v>
      </c>
      <c r="C62" s="98"/>
      <c r="D62" s="98"/>
      <c r="E62" s="98"/>
      <c r="F62" s="98"/>
      <c r="G62" s="98"/>
      <c r="H62" s="98"/>
      <c r="I62" s="98"/>
      <c r="J62" s="98"/>
      <c r="K62" s="98"/>
      <c r="L62" s="98"/>
      <c r="M62" s="98">
        <f t="shared" si="2"/>
        <v>0</v>
      </c>
    </row>
    <row r="63" spans="1:13" ht="102.75" customHeight="1" hidden="1">
      <c r="A63" s="108"/>
      <c r="B63" s="99" t="s">
        <v>273</v>
      </c>
      <c r="C63" s="98">
        <f aca="true" t="shared" si="8" ref="C63:L63">C62</f>
        <v>0</v>
      </c>
      <c r="D63" s="98">
        <f t="shared" si="8"/>
        <v>0</v>
      </c>
      <c r="E63" s="98">
        <f t="shared" si="8"/>
        <v>0</v>
      </c>
      <c r="F63" s="98">
        <f t="shared" si="8"/>
        <v>0</v>
      </c>
      <c r="G63" s="98">
        <f t="shared" si="8"/>
        <v>0</v>
      </c>
      <c r="H63" s="98">
        <f t="shared" si="8"/>
        <v>0</v>
      </c>
      <c r="I63" s="98">
        <f t="shared" si="8"/>
        <v>0</v>
      </c>
      <c r="J63" s="98">
        <f t="shared" si="8"/>
        <v>0</v>
      </c>
      <c r="K63" s="98">
        <f t="shared" si="8"/>
        <v>0</v>
      </c>
      <c r="L63" s="98">
        <f t="shared" si="8"/>
        <v>0</v>
      </c>
      <c r="M63" s="98">
        <f t="shared" si="2"/>
        <v>0</v>
      </c>
    </row>
    <row r="64" spans="1:13" ht="24" customHeight="1">
      <c r="A64" s="108" t="s">
        <v>274</v>
      </c>
      <c r="B64" s="99" t="s">
        <v>275</v>
      </c>
      <c r="C64" s="98">
        <v>3000</v>
      </c>
      <c r="D64" s="98">
        <f>D63</f>
        <v>0</v>
      </c>
      <c r="E64" s="98">
        <f>E63</f>
        <v>0</v>
      </c>
      <c r="F64" s="98">
        <f aca="true" t="shared" si="9" ref="F64:L64">F63</f>
        <v>0</v>
      </c>
      <c r="G64" s="98">
        <f t="shared" si="9"/>
        <v>0</v>
      </c>
      <c r="H64" s="98">
        <f t="shared" si="9"/>
        <v>0</v>
      </c>
      <c r="I64" s="98">
        <f t="shared" si="9"/>
        <v>0</v>
      </c>
      <c r="J64" s="98">
        <f t="shared" si="9"/>
        <v>0</v>
      </c>
      <c r="K64" s="98">
        <f t="shared" si="9"/>
        <v>0</v>
      </c>
      <c r="L64" s="98">
        <f t="shared" si="9"/>
        <v>0</v>
      </c>
      <c r="M64" s="98">
        <f t="shared" si="2"/>
        <v>3000</v>
      </c>
    </row>
    <row r="65" spans="1:13" ht="17.25">
      <c r="A65" s="111"/>
      <c r="B65" s="112" t="s">
        <v>86</v>
      </c>
      <c r="C65" s="98">
        <f>C15+C17+C21+C54+C56+C61+C59+C52</f>
        <v>105625878.99999999</v>
      </c>
      <c r="D65" s="98">
        <f aca="true" t="shared" si="10" ref="D65:I65">D15+D17+D21+D54+D56+D61</f>
        <v>9442605</v>
      </c>
      <c r="E65" s="98">
        <f t="shared" si="10"/>
        <v>738672</v>
      </c>
      <c r="F65" s="98">
        <f>F15+F17+F21+F54+F56+F61+F60</f>
        <v>629865.39</v>
      </c>
      <c r="G65" s="98">
        <f t="shared" si="10"/>
        <v>120284</v>
      </c>
      <c r="H65" s="98">
        <f t="shared" si="10"/>
        <v>77333</v>
      </c>
      <c r="I65" s="98">
        <f t="shared" si="10"/>
        <v>5044</v>
      </c>
      <c r="J65" s="98">
        <f>J15+J17+J21+J54+J56+J61+J60</f>
        <v>509581.38999999996</v>
      </c>
      <c r="K65" s="98">
        <f>K15+K17+K21+K54+K56+K61+K60</f>
        <v>509581.38999999996</v>
      </c>
      <c r="L65" s="98">
        <f>L15+L17+L21+L54+L56+L61+L60</f>
        <v>321260.46</v>
      </c>
      <c r="M65" s="98">
        <f t="shared" si="2"/>
        <v>106255744.38999999</v>
      </c>
    </row>
    <row r="66" spans="1:13" ht="26.25" customHeight="1">
      <c r="A66" s="113"/>
      <c r="B66" s="114" t="s">
        <v>87</v>
      </c>
      <c r="C66" s="98">
        <f>C18+C23+C24</f>
        <v>89582126.99999999</v>
      </c>
      <c r="D66" s="98">
        <f aca="true" t="shared" si="11" ref="D66:M66">D18+D23+D24</f>
        <v>0</v>
      </c>
      <c r="E66" s="98">
        <f t="shared" si="11"/>
        <v>0</v>
      </c>
      <c r="F66" s="98">
        <f t="shared" si="11"/>
        <v>121260.46</v>
      </c>
      <c r="G66" s="98">
        <f t="shared" si="11"/>
        <v>0</v>
      </c>
      <c r="H66" s="98">
        <f t="shared" si="11"/>
        <v>0</v>
      </c>
      <c r="I66" s="98">
        <f t="shared" si="11"/>
        <v>0</v>
      </c>
      <c r="J66" s="98">
        <f t="shared" si="11"/>
        <v>121260.46</v>
      </c>
      <c r="K66" s="98">
        <f t="shared" si="11"/>
        <v>121260.46</v>
      </c>
      <c r="L66" s="98">
        <f t="shared" si="11"/>
        <v>121260.46</v>
      </c>
      <c r="M66" s="98">
        <f t="shared" si="11"/>
        <v>89703387.45999998</v>
      </c>
    </row>
    <row r="69" spans="2:9" s="35" customFormat="1" ht="25.5" hidden="1">
      <c r="B69" s="35" t="s">
        <v>110</v>
      </c>
      <c r="I69" s="35" t="s">
        <v>111</v>
      </c>
    </row>
    <row r="71" ht="15">
      <c r="C71" s="150"/>
    </row>
  </sheetData>
  <sheetProtection/>
  <mergeCells count="23">
    <mergeCell ref="D11:D13"/>
    <mergeCell ref="E11:E13"/>
    <mergeCell ref="A9:A13"/>
    <mergeCell ref="L11:L13"/>
    <mergeCell ref="G10:G13"/>
    <mergeCell ref="H10:I10"/>
    <mergeCell ref="I3:M3"/>
    <mergeCell ref="I4:M4"/>
    <mergeCell ref="A6:M6"/>
    <mergeCell ref="K10:L10"/>
    <mergeCell ref="I11:I13"/>
    <mergeCell ref="K11:K13"/>
    <mergeCell ref="D10:E10"/>
    <mergeCell ref="B9:B13"/>
    <mergeCell ref="C9:E9"/>
    <mergeCell ref="C10:C13"/>
    <mergeCell ref="I1:M1"/>
    <mergeCell ref="I2:M2"/>
    <mergeCell ref="M9:M13"/>
    <mergeCell ref="F9:L9"/>
    <mergeCell ref="F10:F13"/>
    <mergeCell ref="H11:H13"/>
    <mergeCell ref="J10:J13"/>
  </mergeCells>
  <printOptions/>
  <pageMargins left="0.7874015748031497" right="0.7874015748031497" top="1.1811023622047245" bottom="0.3937007874015748" header="0.5118110236220472" footer="0.3937007874015748"/>
  <pageSetup horizontalDpi="600" verticalDpi="600" orientation="landscape" paperSize="9" scale="49" r:id="rId1"/>
  <headerFooter alignWithMargins="0">
    <oddHeader>&amp;C&amp;"Bookman Old Style,обычный"&amp;18 4</oddHeader>
  </headerFooter>
  <rowBreaks count="2" manualBreakCount="2">
    <brk id="23" max="12" man="1"/>
    <brk id="28" max="255" man="1"/>
  </rowBreaks>
</worksheet>
</file>

<file path=xl/worksheets/sheet3.xml><?xml version="1.0" encoding="utf-8"?>
<worksheet xmlns="http://schemas.openxmlformats.org/spreadsheetml/2006/main" xmlns:r="http://schemas.openxmlformats.org/officeDocument/2006/relationships">
  <dimension ref="A1:N72"/>
  <sheetViews>
    <sheetView view="pageBreakPreview" zoomScale="75" zoomScaleSheetLayoutView="75" workbookViewId="0" topLeftCell="A1">
      <selection activeCell="B6" sqref="B6"/>
    </sheetView>
  </sheetViews>
  <sheetFormatPr defaultColWidth="9.00390625" defaultRowHeight="12.75"/>
  <cols>
    <col min="1" max="1" width="16.75390625" style="3" customWidth="1"/>
    <col min="2" max="2" width="72.25390625" style="1" customWidth="1"/>
    <col min="3" max="3" width="22.375" style="1" customWidth="1"/>
    <col min="4" max="4" width="18.375" style="1" customWidth="1"/>
    <col min="5" max="5" width="18.00390625" style="1" customWidth="1"/>
    <col min="6" max="6" width="16.25390625" style="1" customWidth="1"/>
    <col min="7" max="7" width="15.875" style="1" customWidth="1"/>
    <col min="8" max="8" width="14.625" style="1" customWidth="1"/>
    <col min="9" max="9" width="14.125" style="1" customWidth="1"/>
    <col min="10" max="10" width="17.125" style="1" customWidth="1"/>
    <col min="11" max="11" width="17.25390625" style="1" customWidth="1"/>
    <col min="12" max="12" width="17.75390625" style="1" customWidth="1"/>
    <col min="13" max="13" width="21.00390625" style="1" customWidth="1"/>
    <col min="14" max="16384" width="9.125" style="1" customWidth="1"/>
  </cols>
  <sheetData>
    <row r="1" spans="1:14" ht="23.25" customHeight="1">
      <c r="A1" s="23"/>
      <c r="B1" s="9"/>
      <c r="C1" s="9"/>
      <c r="D1" s="9"/>
      <c r="E1" s="9"/>
      <c r="F1" s="9"/>
      <c r="G1" s="9"/>
      <c r="H1" s="9"/>
      <c r="I1" s="164" t="s">
        <v>267</v>
      </c>
      <c r="J1" s="164"/>
      <c r="K1" s="164"/>
      <c r="L1" s="164"/>
      <c r="M1" s="8"/>
      <c r="N1" s="8"/>
    </row>
    <row r="2" spans="1:14" ht="21.75" customHeight="1">
      <c r="A2" s="23"/>
      <c r="B2" s="9"/>
      <c r="C2" s="9"/>
      <c r="D2" s="4"/>
      <c r="E2" s="4"/>
      <c r="F2" s="4"/>
      <c r="G2" s="4" t="s">
        <v>31</v>
      </c>
      <c r="H2" s="9"/>
      <c r="I2" s="165" t="s">
        <v>30</v>
      </c>
      <c r="J2" s="165"/>
      <c r="K2" s="165"/>
      <c r="L2" s="165"/>
      <c r="M2" s="12"/>
      <c r="N2" s="12"/>
    </row>
    <row r="3" spans="1:14" ht="23.25">
      <c r="A3" s="23"/>
      <c r="B3" s="9"/>
      <c r="C3" s="9"/>
      <c r="D3" s="4"/>
      <c r="E3" s="4"/>
      <c r="F3" s="4"/>
      <c r="G3" s="4"/>
      <c r="H3" s="9"/>
      <c r="I3" s="164" t="s">
        <v>88</v>
      </c>
      <c r="J3" s="164"/>
      <c r="K3" s="164"/>
      <c r="L3" s="164"/>
      <c r="M3" s="164"/>
      <c r="N3" s="20"/>
    </row>
    <row r="4" spans="1:14" ht="23.25">
      <c r="A4" s="23"/>
      <c r="B4" s="9"/>
      <c r="C4" s="4"/>
      <c r="D4" s="4"/>
      <c r="E4" s="9"/>
      <c r="F4" s="4"/>
      <c r="G4" s="4"/>
      <c r="H4" s="9"/>
      <c r="I4" s="161" t="s">
        <v>315</v>
      </c>
      <c r="J4" s="161"/>
      <c r="K4" s="161"/>
      <c r="L4" s="161"/>
      <c r="M4" s="161"/>
      <c r="N4" s="8"/>
    </row>
    <row r="5" spans="1:14" ht="18.75">
      <c r="A5" s="23"/>
      <c r="B5" s="9"/>
      <c r="C5" s="95"/>
      <c r="D5" s="4"/>
      <c r="E5" s="9"/>
      <c r="F5" s="4"/>
      <c r="G5" s="4"/>
      <c r="H5" s="9"/>
      <c r="I5" s="14"/>
      <c r="J5" s="15"/>
      <c r="K5" s="15"/>
      <c r="L5" s="15"/>
      <c r="M5" s="14"/>
      <c r="N5" s="9"/>
    </row>
    <row r="6" spans="1:14" ht="16.5">
      <c r="A6" s="23"/>
      <c r="B6" s="9"/>
      <c r="C6" s="4"/>
      <c r="D6" s="4"/>
      <c r="E6" s="4"/>
      <c r="F6" s="4"/>
      <c r="G6" s="4"/>
      <c r="H6" s="9"/>
      <c r="I6" s="9"/>
      <c r="J6" s="21"/>
      <c r="K6" s="21"/>
      <c r="L6" s="21"/>
      <c r="M6" s="21"/>
      <c r="N6" s="9"/>
    </row>
    <row r="7" spans="1:14" s="9" customFormat="1" ht="52.5" customHeight="1">
      <c r="A7" s="166" t="s">
        <v>293</v>
      </c>
      <c r="B7" s="166"/>
      <c r="C7" s="166"/>
      <c r="D7" s="166"/>
      <c r="E7" s="166"/>
      <c r="F7" s="166"/>
      <c r="G7" s="166"/>
      <c r="H7" s="166"/>
      <c r="I7" s="166"/>
      <c r="J7" s="166"/>
      <c r="K7" s="166"/>
      <c r="L7" s="166"/>
      <c r="M7" s="166"/>
      <c r="N7" s="16"/>
    </row>
    <row r="8" spans="1:13" ht="16.5">
      <c r="A8" s="23"/>
      <c r="B8" s="9"/>
      <c r="C8" s="9"/>
      <c r="D8" s="9"/>
      <c r="E8" s="9"/>
      <c r="F8" s="9"/>
      <c r="G8" s="9"/>
      <c r="H8" s="9"/>
      <c r="I8" s="9"/>
      <c r="J8" s="9"/>
      <c r="K8" s="9"/>
      <c r="L8" s="22"/>
      <c r="M8" s="23" t="s">
        <v>32</v>
      </c>
    </row>
    <row r="10" spans="1:13" ht="27.75" customHeight="1">
      <c r="A10" s="167" t="s">
        <v>89</v>
      </c>
      <c r="B10" s="160" t="s">
        <v>16</v>
      </c>
      <c r="C10" s="160" t="s">
        <v>2</v>
      </c>
      <c r="D10" s="160"/>
      <c r="E10" s="160"/>
      <c r="F10" s="160" t="s">
        <v>7</v>
      </c>
      <c r="G10" s="160"/>
      <c r="H10" s="160"/>
      <c r="I10" s="160"/>
      <c r="J10" s="160"/>
      <c r="K10" s="160"/>
      <c r="L10" s="160"/>
      <c r="M10" s="160" t="s">
        <v>12</v>
      </c>
    </row>
    <row r="11" spans="1:13" ht="35.25" customHeight="1">
      <c r="A11" s="168"/>
      <c r="B11" s="160"/>
      <c r="C11" s="160" t="s">
        <v>3</v>
      </c>
      <c r="D11" s="160" t="s">
        <v>4</v>
      </c>
      <c r="E11" s="160"/>
      <c r="F11" s="160" t="s">
        <v>3</v>
      </c>
      <c r="G11" s="160" t="s">
        <v>8</v>
      </c>
      <c r="H11" s="160" t="s">
        <v>4</v>
      </c>
      <c r="I11" s="160"/>
      <c r="J11" s="160" t="s">
        <v>9</v>
      </c>
      <c r="K11" s="160" t="s">
        <v>4</v>
      </c>
      <c r="L11" s="160"/>
      <c r="M11" s="160"/>
    </row>
    <row r="12" spans="1:13" ht="24.75" customHeight="1">
      <c r="A12" s="167" t="s">
        <v>0</v>
      </c>
      <c r="B12" s="160" t="s">
        <v>1</v>
      </c>
      <c r="C12" s="160"/>
      <c r="D12" s="160" t="s">
        <v>5</v>
      </c>
      <c r="E12" s="160" t="s">
        <v>6</v>
      </c>
      <c r="F12" s="160"/>
      <c r="G12" s="160"/>
      <c r="H12" s="160" t="s">
        <v>5</v>
      </c>
      <c r="I12" s="160" t="s">
        <v>6</v>
      </c>
      <c r="J12" s="160"/>
      <c r="K12" s="160" t="s">
        <v>10</v>
      </c>
      <c r="L12" s="5" t="s">
        <v>4</v>
      </c>
      <c r="M12" s="160"/>
    </row>
    <row r="13" spans="1:13" ht="160.5" customHeight="1">
      <c r="A13" s="168"/>
      <c r="B13" s="160"/>
      <c r="C13" s="160"/>
      <c r="D13" s="160"/>
      <c r="E13" s="160"/>
      <c r="F13" s="160"/>
      <c r="G13" s="160"/>
      <c r="H13" s="160"/>
      <c r="I13" s="160"/>
      <c r="J13" s="160"/>
      <c r="K13" s="160"/>
      <c r="L13" s="5" t="s">
        <v>11</v>
      </c>
      <c r="M13" s="160"/>
    </row>
    <row r="14" spans="1:13" s="6" customFormat="1" ht="15">
      <c r="A14" s="18">
        <v>1</v>
      </c>
      <c r="B14" s="18">
        <v>2</v>
      </c>
      <c r="C14" s="18">
        <v>3</v>
      </c>
      <c r="D14" s="18">
        <v>4</v>
      </c>
      <c r="E14" s="18">
        <v>5</v>
      </c>
      <c r="F14" s="18">
        <v>6</v>
      </c>
      <c r="G14" s="18">
        <v>7</v>
      </c>
      <c r="H14" s="18">
        <v>8</v>
      </c>
      <c r="I14" s="18">
        <v>9</v>
      </c>
      <c r="J14" s="18">
        <v>10</v>
      </c>
      <c r="K14" s="18">
        <v>11</v>
      </c>
      <c r="L14" s="18">
        <v>12</v>
      </c>
      <c r="M14" s="18">
        <v>13</v>
      </c>
    </row>
    <row r="15" spans="1:13" s="32" customFormat="1" ht="33" customHeight="1">
      <c r="A15" s="42" t="s">
        <v>185</v>
      </c>
      <c r="B15" s="115" t="s">
        <v>90</v>
      </c>
      <c r="C15" s="88">
        <f>C16+C18+C24+C26+C30</f>
        <v>10318054</v>
      </c>
      <c r="D15" s="88">
        <f aca="true" t="shared" si="0" ref="D15:L15">D16+D18+D24+D26+D30</f>
        <v>5987770</v>
      </c>
      <c r="E15" s="88">
        <f t="shared" si="0"/>
        <v>465270</v>
      </c>
      <c r="F15" s="88">
        <f t="shared" si="0"/>
        <v>290362.67</v>
      </c>
      <c r="G15" s="88">
        <f t="shared" si="0"/>
        <v>4</v>
      </c>
      <c r="H15" s="88">
        <f>H16+H18+H24+H26+H30</f>
        <v>0</v>
      </c>
      <c r="I15" s="88">
        <f>I16+I18+I24+I26+I30</f>
        <v>0</v>
      </c>
      <c r="J15" s="88">
        <f t="shared" si="0"/>
        <v>290358.67</v>
      </c>
      <c r="K15" s="88">
        <f t="shared" si="0"/>
        <v>290358.67</v>
      </c>
      <c r="L15" s="88">
        <f t="shared" si="0"/>
        <v>200000</v>
      </c>
      <c r="M15" s="88">
        <f>C15+F15</f>
        <v>10608416.67</v>
      </c>
    </row>
    <row r="16" spans="1:13" s="32" customFormat="1" ht="33" customHeight="1">
      <c r="A16" s="151" t="s">
        <v>33</v>
      </c>
      <c r="B16" s="97" t="s">
        <v>34</v>
      </c>
      <c r="C16" s="88">
        <f>C17</f>
        <v>9912608</v>
      </c>
      <c r="D16" s="88">
        <f aca="true" t="shared" si="1" ref="D16:M16">D17</f>
        <v>5987770</v>
      </c>
      <c r="E16" s="88">
        <f t="shared" si="1"/>
        <v>465270</v>
      </c>
      <c r="F16" s="88">
        <f t="shared" si="1"/>
        <v>290362.67</v>
      </c>
      <c r="G16" s="88">
        <f t="shared" si="1"/>
        <v>4</v>
      </c>
      <c r="H16" s="88"/>
      <c r="I16" s="88"/>
      <c r="J16" s="88">
        <f t="shared" si="1"/>
        <v>290358.67</v>
      </c>
      <c r="K16" s="88">
        <f t="shared" si="1"/>
        <v>290358.67</v>
      </c>
      <c r="L16" s="88">
        <f t="shared" si="1"/>
        <v>200000</v>
      </c>
      <c r="M16" s="88">
        <f t="shared" si="1"/>
        <v>10202970.67</v>
      </c>
    </row>
    <row r="17" spans="1:13" s="32" customFormat="1" ht="27" customHeight="1">
      <c r="A17" s="42" t="s">
        <v>35</v>
      </c>
      <c r="B17" s="116" t="s">
        <v>91</v>
      </c>
      <c r="C17" s="88">
        <f>9875000+134986+15722-113100</f>
        <v>9912608</v>
      </c>
      <c r="D17" s="88">
        <f>6126230-138460</f>
        <v>5987770</v>
      </c>
      <c r="E17" s="88">
        <f>398270+67000</f>
        <v>465270</v>
      </c>
      <c r="F17" s="88">
        <f>G17+J17</f>
        <v>290362.67</v>
      </c>
      <c r="G17" s="88">
        <v>4</v>
      </c>
      <c r="H17" s="88"/>
      <c r="I17" s="88"/>
      <c r="J17" s="88">
        <f>K17</f>
        <v>290358.67</v>
      </c>
      <c r="K17" s="88">
        <f>L17+90358.67</f>
        <v>290358.67</v>
      </c>
      <c r="L17" s="88">
        <v>200000</v>
      </c>
      <c r="M17" s="88">
        <f aca="true" t="shared" si="2" ref="M17:M71">C17+F17</f>
        <v>10202970.67</v>
      </c>
    </row>
    <row r="18" spans="1:13" s="32" customFormat="1" ht="27" customHeight="1">
      <c r="A18" s="152" t="s">
        <v>42</v>
      </c>
      <c r="B18" s="101" t="s">
        <v>43</v>
      </c>
      <c r="C18" s="88">
        <f>C19+C20+C21+C22+C23</f>
        <v>311596</v>
      </c>
      <c r="D18" s="88"/>
      <c r="E18" s="88"/>
      <c r="F18" s="88"/>
      <c r="G18" s="88"/>
      <c r="H18" s="88"/>
      <c r="I18" s="88"/>
      <c r="J18" s="88"/>
      <c r="K18" s="88"/>
      <c r="L18" s="88"/>
      <c r="M18" s="88">
        <f t="shared" si="2"/>
        <v>311596</v>
      </c>
    </row>
    <row r="19" spans="1:13" s="32" customFormat="1" ht="30.75" customHeight="1">
      <c r="A19" s="42" t="s">
        <v>64</v>
      </c>
      <c r="B19" s="116" t="s">
        <v>65</v>
      </c>
      <c r="C19" s="88">
        <f>109350+131424</f>
        <v>240774</v>
      </c>
      <c r="D19" s="88"/>
      <c r="E19" s="88"/>
      <c r="F19" s="88"/>
      <c r="G19" s="88"/>
      <c r="H19" s="88"/>
      <c r="I19" s="88"/>
      <c r="J19" s="88"/>
      <c r="K19" s="88"/>
      <c r="L19" s="88"/>
      <c r="M19" s="88">
        <f t="shared" si="2"/>
        <v>240774</v>
      </c>
    </row>
    <row r="20" spans="1:13" s="32" customFormat="1" ht="27.75" customHeight="1">
      <c r="A20" s="42" t="s">
        <v>66</v>
      </c>
      <c r="B20" s="116" t="s">
        <v>112</v>
      </c>
      <c r="C20" s="88">
        <f>34700</f>
        <v>34700</v>
      </c>
      <c r="D20" s="88"/>
      <c r="E20" s="88"/>
      <c r="F20" s="88"/>
      <c r="G20" s="88"/>
      <c r="H20" s="88"/>
      <c r="I20" s="88"/>
      <c r="J20" s="88"/>
      <c r="K20" s="88"/>
      <c r="L20" s="88"/>
      <c r="M20" s="88">
        <f t="shared" si="2"/>
        <v>34700</v>
      </c>
    </row>
    <row r="21" spans="1:13" s="32" customFormat="1" ht="35.25" customHeight="1">
      <c r="A21" s="42" t="s">
        <v>67</v>
      </c>
      <c r="B21" s="116" t="s">
        <v>68</v>
      </c>
      <c r="C21" s="88">
        <f>6200+1572</f>
        <v>7772</v>
      </c>
      <c r="D21" s="88"/>
      <c r="E21" s="88"/>
      <c r="F21" s="88"/>
      <c r="G21" s="88"/>
      <c r="H21" s="88"/>
      <c r="I21" s="88"/>
      <c r="J21" s="88"/>
      <c r="K21" s="88"/>
      <c r="L21" s="88"/>
      <c r="M21" s="88">
        <f t="shared" si="2"/>
        <v>7772</v>
      </c>
    </row>
    <row r="22" spans="1:13" s="32" customFormat="1" ht="53.25" customHeight="1">
      <c r="A22" s="42" t="s">
        <v>69</v>
      </c>
      <c r="B22" s="116" t="s">
        <v>70</v>
      </c>
      <c r="C22" s="88">
        <f>4200+1150</f>
        <v>5350</v>
      </c>
      <c r="D22" s="88"/>
      <c r="E22" s="88"/>
      <c r="F22" s="88"/>
      <c r="G22" s="88"/>
      <c r="H22" s="88"/>
      <c r="I22" s="88"/>
      <c r="J22" s="88"/>
      <c r="K22" s="88"/>
      <c r="L22" s="88"/>
      <c r="M22" s="88">
        <f t="shared" si="2"/>
        <v>5350</v>
      </c>
    </row>
    <row r="23" spans="1:13" s="32" customFormat="1" ht="33.75" customHeight="1">
      <c r="A23" s="42" t="s">
        <v>71</v>
      </c>
      <c r="B23" s="116" t="s">
        <v>72</v>
      </c>
      <c r="C23" s="88">
        <f>13000+10000</f>
        <v>23000</v>
      </c>
      <c r="D23" s="88"/>
      <c r="E23" s="88"/>
      <c r="F23" s="88"/>
      <c r="G23" s="88"/>
      <c r="H23" s="88"/>
      <c r="I23" s="88"/>
      <c r="J23" s="88"/>
      <c r="K23" s="88"/>
      <c r="L23" s="88"/>
      <c r="M23" s="88">
        <f t="shared" si="2"/>
        <v>23000</v>
      </c>
    </row>
    <row r="24" spans="1:13" s="32" customFormat="1" ht="33.75" customHeight="1">
      <c r="A24" s="151" t="s">
        <v>76</v>
      </c>
      <c r="B24" s="97" t="s">
        <v>77</v>
      </c>
      <c r="C24" s="88">
        <f>C25</f>
        <v>70300</v>
      </c>
      <c r="D24" s="88"/>
      <c r="E24" s="88"/>
      <c r="F24" s="88"/>
      <c r="G24" s="88"/>
      <c r="H24" s="88"/>
      <c r="I24" s="88"/>
      <c r="J24" s="88"/>
      <c r="K24" s="88"/>
      <c r="L24" s="88"/>
      <c r="M24" s="88">
        <f t="shared" si="2"/>
        <v>70300</v>
      </c>
    </row>
    <row r="25" spans="1:13" s="32" customFormat="1" ht="39" customHeight="1">
      <c r="A25" s="40" t="s">
        <v>78</v>
      </c>
      <c r="B25" s="117" t="s">
        <v>79</v>
      </c>
      <c r="C25" s="88">
        <f>52300+28000-10000</f>
        <v>70300</v>
      </c>
      <c r="D25" s="88"/>
      <c r="E25" s="88"/>
      <c r="F25" s="88"/>
      <c r="G25" s="88"/>
      <c r="H25" s="88"/>
      <c r="I25" s="88"/>
      <c r="J25" s="88"/>
      <c r="K25" s="88"/>
      <c r="L25" s="88"/>
      <c r="M25" s="88">
        <f t="shared" si="2"/>
        <v>70300</v>
      </c>
    </row>
    <row r="26" spans="1:13" s="32" customFormat="1" ht="39" customHeight="1">
      <c r="A26" s="151" t="s">
        <v>80</v>
      </c>
      <c r="B26" s="97" t="s">
        <v>81</v>
      </c>
      <c r="C26" s="88">
        <f>C27</f>
        <v>20550</v>
      </c>
      <c r="D26" s="88"/>
      <c r="E26" s="88"/>
      <c r="F26" s="88"/>
      <c r="G26" s="88"/>
      <c r="H26" s="88"/>
      <c r="I26" s="88"/>
      <c r="J26" s="88"/>
      <c r="K26" s="88"/>
      <c r="L26" s="88"/>
      <c r="M26" s="88">
        <f t="shared" si="2"/>
        <v>20550</v>
      </c>
    </row>
    <row r="27" spans="1:13" s="32" customFormat="1" ht="45" customHeight="1">
      <c r="A27" s="42" t="s">
        <v>82</v>
      </c>
      <c r="B27" s="118" t="s">
        <v>83</v>
      </c>
      <c r="C27" s="88">
        <f>16100+4450</f>
        <v>20550</v>
      </c>
      <c r="D27" s="88"/>
      <c r="E27" s="88"/>
      <c r="F27" s="88"/>
      <c r="G27" s="88"/>
      <c r="H27" s="88"/>
      <c r="I27" s="88"/>
      <c r="J27" s="88"/>
      <c r="K27" s="88"/>
      <c r="L27" s="88"/>
      <c r="M27" s="88">
        <f t="shared" si="2"/>
        <v>20550</v>
      </c>
    </row>
    <row r="28" spans="1:13" s="32" customFormat="1" ht="64.5" customHeight="1" hidden="1">
      <c r="A28" s="119" t="s">
        <v>265</v>
      </c>
      <c r="B28" s="99" t="s">
        <v>266</v>
      </c>
      <c r="C28" s="88"/>
      <c r="D28" s="88"/>
      <c r="E28" s="88"/>
      <c r="F28" s="88"/>
      <c r="G28" s="88"/>
      <c r="H28" s="88"/>
      <c r="I28" s="88"/>
      <c r="J28" s="88"/>
      <c r="K28" s="88"/>
      <c r="L28" s="88"/>
      <c r="M28" s="88">
        <f t="shared" si="2"/>
        <v>0</v>
      </c>
    </row>
    <row r="29" spans="1:13" s="32" customFormat="1" ht="99" customHeight="1" hidden="1">
      <c r="A29" s="108"/>
      <c r="B29" s="99" t="s">
        <v>273</v>
      </c>
      <c r="C29" s="88">
        <f>C28</f>
        <v>0</v>
      </c>
      <c r="D29" s="88"/>
      <c r="E29" s="88"/>
      <c r="F29" s="88"/>
      <c r="G29" s="88"/>
      <c r="H29" s="88"/>
      <c r="I29" s="88"/>
      <c r="J29" s="88"/>
      <c r="K29" s="88"/>
      <c r="L29" s="88"/>
      <c r="M29" s="88">
        <f t="shared" si="2"/>
        <v>0</v>
      </c>
    </row>
    <row r="30" spans="1:13" s="32" customFormat="1" ht="36" customHeight="1">
      <c r="A30" s="119" t="s">
        <v>263</v>
      </c>
      <c r="B30" s="99" t="s">
        <v>264</v>
      </c>
      <c r="C30" s="88">
        <f>C31</f>
        <v>3000</v>
      </c>
      <c r="D30" s="88"/>
      <c r="E30" s="88"/>
      <c r="F30" s="88"/>
      <c r="G30" s="88"/>
      <c r="H30" s="88"/>
      <c r="I30" s="88"/>
      <c r="J30" s="88"/>
      <c r="K30" s="88"/>
      <c r="L30" s="88"/>
      <c r="M30" s="88">
        <f t="shared" si="2"/>
        <v>3000</v>
      </c>
    </row>
    <row r="31" spans="1:13" s="32" customFormat="1" ht="35.25" customHeight="1">
      <c r="A31" s="119" t="s">
        <v>274</v>
      </c>
      <c r="B31" s="99" t="s">
        <v>275</v>
      </c>
      <c r="C31" s="88">
        <v>3000</v>
      </c>
      <c r="D31" s="88"/>
      <c r="E31" s="88"/>
      <c r="F31" s="88"/>
      <c r="G31" s="88"/>
      <c r="H31" s="88"/>
      <c r="I31" s="88"/>
      <c r="J31" s="88"/>
      <c r="K31" s="88"/>
      <c r="L31" s="88"/>
      <c r="M31" s="88">
        <f t="shared" si="2"/>
        <v>3000</v>
      </c>
    </row>
    <row r="32" spans="1:13" s="32" customFormat="1" ht="34.5" customHeight="1">
      <c r="A32" s="38" t="s">
        <v>186</v>
      </c>
      <c r="B32" s="120" t="s">
        <v>92</v>
      </c>
      <c r="C32" s="88">
        <f>C37+C40+C66</f>
        <v>94043174.99999999</v>
      </c>
      <c r="D32" s="88">
        <f aca="true" t="shared" si="3" ref="D32:L32">D37+D40+D66</f>
        <v>2696136</v>
      </c>
      <c r="E32" s="88">
        <f t="shared" si="3"/>
        <v>185640</v>
      </c>
      <c r="F32" s="88">
        <f t="shared" si="3"/>
        <v>313323.75</v>
      </c>
      <c r="G32" s="88">
        <f t="shared" si="3"/>
        <v>117700</v>
      </c>
      <c r="H32" s="88">
        <f t="shared" si="3"/>
        <v>77333</v>
      </c>
      <c r="I32" s="88">
        <f t="shared" si="3"/>
        <v>3136</v>
      </c>
      <c r="J32" s="88">
        <f t="shared" si="3"/>
        <v>195623.75</v>
      </c>
      <c r="K32" s="88">
        <f t="shared" si="3"/>
        <v>195623.75</v>
      </c>
      <c r="L32" s="88">
        <f t="shared" si="3"/>
        <v>121260.46</v>
      </c>
      <c r="M32" s="88">
        <f t="shared" si="2"/>
        <v>94356498.74999999</v>
      </c>
    </row>
    <row r="33" spans="1:13" s="32" customFormat="1" ht="34.5" customHeight="1">
      <c r="A33" s="121"/>
      <c r="B33" s="120" t="s">
        <v>44</v>
      </c>
      <c r="C33" s="88"/>
      <c r="D33" s="88"/>
      <c r="E33" s="88"/>
      <c r="F33" s="88"/>
      <c r="G33" s="88"/>
      <c r="H33" s="88"/>
      <c r="I33" s="88"/>
      <c r="J33" s="88"/>
      <c r="K33" s="88"/>
      <c r="L33" s="88"/>
      <c r="M33" s="88">
        <f t="shared" si="2"/>
        <v>0</v>
      </c>
    </row>
    <row r="34" spans="1:13" s="32" customFormat="1" ht="78" customHeight="1">
      <c r="A34" s="121"/>
      <c r="B34" s="19" t="s">
        <v>45</v>
      </c>
      <c r="C34" s="88">
        <f>C44+C46+C48+C50+C52+C54+C56+C58+C63</f>
        <v>88572599.99999999</v>
      </c>
      <c r="D34" s="88"/>
      <c r="E34" s="88"/>
      <c r="F34" s="88"/>
      <c r="G34" s="88"/>
      <c r="H34" s="88"/>
      <c r="I34" s="88"/>
      <c r="J34" s="88"/>
      <c r="K34" s="88"/>
      <c r="L34" s="88"/>
      <c r="M34" s="88">
        <f t="shared" si="2"/>
        <v>88572599.99999999</v>
      </c>
    </row>
    <row r="35" spans="1:13" s="32" customFormat="1" ht="252.75" customHeight="1">
      <c r="A35" s="121"/>
      <c r="B35" s="46" t="s">
        <v>191</v>
      </c>
      <c r="C35" s="88"/>
      <c r="D35" s="88"/>
      <c r="E35" s="88"/>
      <c r="F35" s="88">
        <f aca="true" t="shared" si="4" ref="F35:L35">F42</f>
        <v>121260.46</v>
      </c>
      <c r="G35" s="88"/>
      <c r="H35" s="88"/>
      <c r="I35" s="88"/>
      <c r="J35" s="88">
        <f t="shared" si="4"/>
        <v>121260.46</v>
      </c>
      <c r="K35" s="88">
        <f t="shared" si="4"/>
        <v>121260.46</v>
      </c>
      <c r="L35" s="88">
        <f t="shared" si="4"/>
        <v>121260.46</v>
      </c>
      <c r="M35" s="88">
        <f t="shared" si="2"/>
        <v>121260.46</v>
      </c>
    </row>
    <row r="36" spans="1:13" s="32" customFormat="1" ht="117.75" customHeight="1">
      <c r="A36" s="121"/>
      <c r="B36" s="19" t="s">
        <v>93</v>
      </c>
      <c r="C36" s="88">
        <f>C39</f>
        <v>1009527</v>
      </c>
      <c r="D36" s="88"/>
      <c r="E36" s="88"/>
      <c r="F36" s="88"/>
      <c r="G36" s="88"/>
      <c r="H36" s="88"/>
      <c r="I36" s="88"/>
      <c r="J36" s="88"/>
      <c r="K36" s="88"/>
      <c r="L36" s="88"/>
      <c r="M36" s="88">
        <f t="shared" si="2"/>
        <v>1009527</v>
      </c>
    </row>
    <row r="37" spans="1:13" s="32" customFormat="1" ht="30.75" customHeight="1">
      <c r="A37" s="151" t="s">
        <v>37</v>
      </c>
      <c r="B37" s="97" t="s">
        <v>38</v>
      </c>
      <c r="C37" s="88">
        <f>C38</f>
        <v>1009527</v>
      </c>
      <c r="D37" s="88"/>
      <c r="E37" s="88"/>
      <c r="F37" s="88"/>
      <c r="G37" s="88"/>
      <c r="H37" s="88"/>
      <c r="I37" s="88"/>
      <c r="J37" s="88"/>
      <c r="K37" s="88"/>
      <c r="L37" s="88"/>
      <c r="M37" s="88">
        <f t="shared" si="2"/>
        <v>1009527</v>
      </c>
    </row>
    <row r="38" spans="1:13" s="32" customFormat="1" ht="36.75" customHeight="1">
      <c r="A38" s="122" t="s">
        <v>40</v>
      </c>
      <c r="B38" s="123" t="s">
        <v>41</v>
      </c>
      <c r="C38" s="88">
        <f>1165281-103064-52000-690</f>
        <v>1009527</v>
      </c>
      <c r="D38" s="88"/>
      <c r="E38" s="88"/>
      <c r="F38" s="88"/>
      <c r="G38" s="88"/>
      <c r="H38" s="88"/>
      <c r="I38" s="88"/>
      <c r="J38" s="88"/>
      <c r="K38" s="88"/>
      <c r="L38" s="88"/>
      <c r="M38" s="88">
        <f t="shared" si="2"/>
        <v>1009527</v>
      </c>
    </row>
    <row r="39" spans="1:13" s="32" customFormat="1" ht="133.5" customHeight="1">
      <c r="A39" s="122"/>
      <c r="B39" s="19" t="s">
        <v>39</v>
      </c>
      <c r="C39" s="88">
        <f>C38</f>
        <v>1009527</v>
      </c>
      <c r="D39" s="88"/>
      <c r="E39" s="88"/>
      <c r="F39" s="88"/>
      <c r="G39" s="88"/>
      <c r="H39" s="88"/>
      <c r="I39" s="88"/>
      <c r="J39" s="88"/>
      <c r="K39" s="88"/>
      <c r="L39" s="88"/>
      <c r="M39" s="88">
        <f t="shared" si="2"/>
        <v>1009527</v>
      </c>
    </row>
    <row r="40" spans="1:13" s="32" customFormat="1" ht="31.5" customHeight="1">
      <c r="A40" s="152" t="s">
        <v>42</v>
      </c>
      <c r="B40" s="101" t="s">
        <v>43</v>
      </c>
      <c r="C40" s="88">
        <f>C41+C43+C45+C47+C49+C51+C53+C55+C57+C59+C60+C61+C62</f>
        <v>93033647.99999999</v>
      </c>
      <c r="D40" s="88">
        <f aca="true" t="shared" si="5" ref="D40:L40">D41+D43+D45+D47+D49+D51+D53+D55+D57+D59+D60+D61+D62</f>
        <v>2696136</v>
      </c>
      <c r="E40" s="88">
        <f t="shared" si="5"/>
        <v>185640</v>
      </c>
      <c r="F40" s="88">
        <f t="shared" si="5"/>
        <v>238960.46000000002</v>
      </c>
      <c r="G40" s="88">
        <f t="shared" si="5"/>
        <v>117700</v>
      </c>
      <c r="H40" s="88">
        <f t="shared" si="5"/>
        <v>77333</v>
      </c>
      <c r="I40" s="88">
        <f t="shared" si="5"/>
        <v>3136</v>
      </c>
      <c r="J40" s="88">
        <f t="shared" si="5"/>
        <v>121260.46</v>
      </c>
      <c r="K40" s="88">
        <f t="shared" si="5"/>
        <v>121260.46</v>
      </c>
      <c r="L40" s="88">
        <f t="shared" si="5"/>
        <v>121260.46</v>
      </c>
      <c r="M40" s="88">
        <f t="shared" si="2"/>
        <v>93272608.45999998</v>
      </c>
    </row>
    <row r="41" spans="1:13" s="32" customFormat="1" ht="231.75" customHeight="1">
      <c r="A41" s="124" t="s">
        <v>46</v>
      </c>
      <c r="B41" s="125" t="s">
        <v>113</v>
      </c>
      <c r="C41" s="88"/>
      <c r="D41" s="88"/>
      <c r="E41" s="88"/>
      <c r="F41" s="88">
        <f>G41+J41</f>
        <v>121260.46</v>
      </c>
      <c r="G41" s="88"/>
      <c r="H41" s="88"/>
      <c r="I41" s="88"/>
      <c r="J41" s="88">
        <f>K41</f>
        <v>121260.46</v>
      </c>
      <c r="K41" s="88">
        <f>L41</f>
        <v>121260.46</v>
      </c>
      <c r="L41" s="88">
        <f>179265-43792.05-14212.49</f>
        <v>121260.46</v>
      </c>
      <c r="M41" s="88">
        <f t="shared" si="2"/>
        <v>121260.46</v>
      </c>
    </row>
    <row r="42" spans="1:13" s="32" customFormat="1" ht="280.5" customHeight="1">
      <c r="A42" s="124"/>
      <c r="B42" s="126" t="s">
        <v>192</v>
      </c>
      <c r="C42" s="88"/>
      <c r="D42" s="88"/>
      <c r="E42" s="88"/>
      <c r="F42" s="88">
        <f aca="true" t="shared" si="6" ref="F42:L42">F41</f>
        <v>121260.46</v>
      </c>
      <c r="G42" s="88"/>
      <c r="H42" s="88"/>
      <c r="I42" s="88"/>
      <c r="J42" s="88">
        <f t="shared" si="6"/>
        <v>121260.46</v>
      </c>
      <c r="K42" s="88">
        <f t="shared" si="6"/>
        <v>121260.46</v>
      </c>
      <c r="L42" s="88">
        <f t="shared" si="6"/>
        <v>121260.46</v>
      </c>
      <c r="M42" s="88">
        <f t="shared" si="2"/>
        <v>121260.46</v>
      </c>
    </row>
    <row r="43" spans="1:13" s="32" customFormat="1" ht="27.75" customHeight="1">
      <c r="A43" s="45" t="s">
        <v>47</v>
      </c>
      <c r="B43" s="126" t="s">
        <v>48</v>
      </c>
      <c r="C43" s="88">
        <f>1186363-180000</f>
        <v>1006363</v>
      </c>
      <c r="D43" s="88"/>
      <c r="E43" s="88"/>
      <c r="F43" s="88"/>
      <c r="G43" s="88"/>
      <c r="H43" s="88"/>
      <c r="I43" s="88"/>
      <c r="J43" s="88"/>
      <c r="K43" s="88"/>
      <c r="L43" s="88"/>
      <c r="M43" s="88">
        <f t="shared" si="2"/>
        <v>1006363</v>
      </c>
    </row>
    <row r="44" spans="1:13" s="32" customFormat="1" ht="96" customHeight="1">
      <c r="A44" s="45"/>
      <c r="B44" s="19" t="s">
        <v>49</v>
      </c>
      <c r="C44" s="88">
        <f>C43</f>
        <v>1006363</v>
      </c>
      <c r="D44" s="88"/>
      <c r="E44" s="88"/>
      <c r="F44" s="88"/>
      <c r="G44" s="88"/>
      <c r="H44" s="88"/>
      <c r="I44" s="88"/>
      <c r="J44" s="88"/>
      <c r="K44" s="88"/>
      <c r="L44" s="88"/>
      <c r="M44" s="88">
        <f t="shared" si="2"/>
        <v>1006363</v>
      </c>
    </row>
    <row r="45" spans="1:13" s="32" customFormat="1" ht="25.5" customHeight="1">
      <c r="A45" s="45" t="s">
        <v>50</v>
      </c>
      <c r="B45" s="126" t="s">
        <v>51</v>
      </c>
      <c r="C45" s="88">
        <f>12223464-1534100-4964475-993949.49</f>
        <v>4730939.51</v>
      </c>
      <c r="D45" s="88"/>
      <c r="E45" s="88"/>
      <c r="F45" s="88"/>
      <c r="G45" s="88"/>
      <c r="H45" s="88"/>
      <c r="I45" s="88"/>
      <c r="J45" s="88"/>
      <c r="K45" s="88"/>
      <c r="L45" s="88"/>
      <c r="M45" s="88">
        <f t="shared" si="2"/>
        <v>4730939.51</v>
      </c>
    </row>
    <row r="46" spans="1:13" s="32" customFormat="1" ht="99" customHeight="1">
      <c r="A46" s="45"/>
      <c r="B46" s="19" t="s">
        <v>49</v>
      </c>
      <c r="C46" s="88">
        <f>C45</f>
        <v>4730939.51</v>
      </c>
      <c r="D46" s="88"/>
      <c r="E46" s="88"/>
      <c r="F46" s="88"/>
      <c r="G46" s="88"/>
      <c r="H46" s="88"/>
      <c r="I46" s="88"/>
      <c r="J46" s="88"/>
      <c r="K46" s="88"/>
      <c r="L46" s="88"/>
      <c r="M46" s="88">
        <f t="shared" si="2"/>
        <v>4730939.51</v>
      </c>
    </row>
    <row r="47" spans="1:13" s="32" customFormat="1" ht="20.25" customHeight="1">
      <c r="A47" s="45" t="s">
        <v>52</v>
      </c>
      <c r="B47" s="126" t="s">
        <v>53</v>
      </c>
      <c r="C47" s="88">
        <f>53616140-1920200-1637700+400000+230000</f>
        <v>50688240</v>
      </c>
      <c r="D47" s="88"/>
      <c r="E47" s="88"/>
      <c r="F47" s="88"/>
      <c r="G47" s="88"/>
      <c r="H47" s="88"/>
      <c r="I47" s="88"/>
      <c r="J47" s="88"/>
      <c r="K47" s="88"/>
      <c r="L47" s="88"/>
      <c r="M47" s="88">
        <f t="shared" si="2"/>
        <v>50688240</v>
      </c>
    </row>
    <row r="48" spans="1:13" s="32" customFormat="1" ht="97.5" customHeight="1">
      <c r="A48" s="45"/>
      <c r="B48" s="19" t="s">
        <v>49</v>
      </c>
      <c r="C48" s="88">
        <f>C47</f>
        <v>50688240</v>
      </c>
      <c r="D48" s="88"/>
      <c r="E48" s="88"/>
      <c r="F48" s="88"/>
      <c r="G48" s="88"/>
      <c r="H48" s="88"/>
      <c r="I48" s="88"/>
      <c r="J48" s="88"/>
      <c r="K48" s="88"/>
      <c r="L48" s="88"/>
      <c r="M48" s="88">
        <f t="shared" si="2"/>
        <v>50688240</v>
      </c>
    </row>
    <row r="49" spans="1:13" s="32" customFormat="1" ht="33">
      <c r="A49" s="45" t="s">
        <v>54</v>
      </c>
      <c r="B49" s="126" t="s">
        <v>55</v>
      </c>
      <c r="C49" s="88">
        <f>5816040-272000-367122</f>
        <v>5176918</v>
      </c>
      <c r="D49" s="88"/>
      <c r="E49" s="88"/>
      <c r="F49" s="88"/>
      <c r="G49" s="88"/>
      <c r="H49" s="88"/>
      <c r="I49" s="88"/>
      <c r="J49" s="88"/>
      <c r="K49" s="88"/>
      <c r="L49" s="88"/>
      <c r="M49" s="88">
        <f t="shared" si="2"/>
        <v>5176918</v>
      </c>
    </row>
    <row r="50" spans="1:13" s="32" customFormat="1" ht="100.5" customHeight="1">
      <c r="A50" s="45"/>
      <c r="B50" s="19" t="s">
        <v>49</v>
      </c>
      <c r="C50" s="88">
        <f>C49</f>
        <v>5176918</v>
      </c>
      <c r="D50" s="88"/>
      <c r="E50" s="88"/>
      <c r="F50" s="88"/>
      <c r="G50" s="88"/>
      <c r="H50" s="88"/>
      <c r="I50" s="88"/>
      <c r="J50" s="88"/>
      <c r="K50" s="88"/>
      <c r="L50" s="88"/>
      <c r="M50" s="88">
        <f t="shared" si="2"/>
        <v>5176918</v>
      </c>
    </row>
    <row r="51" spans="1:13" s="32" customFormat="1" ht="26.25" customHeight="1">
      <c r="A51" s="45" t="s">
        <v>56</v>
      </c>
      <c r="B51" s="126" t="s">
        <v>57</v>
      </c>
      <c r="C51" s="88">
        <f>10119396+199272+50000+18700</f>
        <v>10387368</v>
      </c>
      <c r="D51" s="88"/>
      <c r="E51" s="88"/>
      <c r="F51" s="88"/>
      <c r="G51" s="88"/>
      <c r="H51" s="88"/>
      <c r="I51" s="88"/>
      <c r="J51" s="88"/>
      <c r="K51" s="88"/>
      <c r="L51" s="88"/>
      <c r="M51" s="88">
        <f t="shared" si="2"/>
        <v>10387368</v>
      </c>
    </row>
    <row r="52" spans="1:13" s="32" customFormat="1" ht="95.25" customHeight="1">
      <c r="A52" s="45"/>
      <c r="B52" s="19" t="s">
        <v>49</v>
      </c>
      <c r="C52" s="88">
        <f>C51</f>
        <v>10387368</v>
      </c>
      <c r="D52" s="88"/>
      <c r="E52" s="88"/>
      <c r="F52" s="88"/>
      <c r="G52" s="88"/>
      <c r="H52" s="88"/>
      <c r="I52" s="88"/>
      <c r="J52" s="88"/>
      <c r="K52" s="88"/>
      <c r="L52" s="88"/>
      <c r="M52" s="88">
        <f t="shared" si="2"/>
        <v>10387368</v>
      </c>
    </row>
    <row r="53" spans="1:13" s="32" customFormat="1" ht="21" customHeight="1">
      <c r="A53" s="38" t="s">
        <v>58</v>
      </c>
      <c r="B53" s="127" t="s">
        <v>59</v>
      </c>
      <c r="C53" s="88">
        <f>782514-30000+20000</f>
        <v>772514</v>
      </c>
      <c r="D53" s="88"/>
      <c r="E53" s="88"/>
      <c r="F53" s="88"/>
      <c r="G53" s="88"/>
      <c r="H53" s="88"/>
      <c r="I53" s="88"/>
      <c r="J53" s="88"/>
      <c r="K53" s="88"/>
      <c r="L53" s="88"/>
      <c r="M53" s="88">
        <f t="shared" si="2"/>
        <v>772514</v>
      </c>
    </row>
    <row r="54" spans="1:13" s="32" customFormat="1" ht="99" customHeight="1">
      <c r="A54" s="38"/>
      <c r="B54" s="19" t="s">
        <v>49</v>
      </c>
      <c r="C54" s="88">
        <f>C53</f>
        <v>772514</v>
      </c>
      <c r="D54" s="88"/>
      <c r="E54" s="88"/>
      <c r="F54" s="88"/>
      <c r="G54" s="88"/>
      <c r="H54" s="88"/>
      <c r="I54" s="88"/>
      <c r="J54" s="88"/>
      <c r="K54" s="88"/>
      <c r="L54" s="88"/>
      <c r="M54" s="88">
        <f t="shared" si="2"/>
        <v>772514</v>
      </c>
    </row>
    <row r="55" spans="1:13" s="32" customFormat="1" ht="16.5">
      <c r="A55" s="128" t="s">
        <v>60</v>
      </c>
      <c r="B55" s="127" t="s">
        <v>61</v>
      </c>
      <c r="C55" s="88">
        <f>145632-21600-23075+21973.55</f>
        <v>122930.55</v>
      </c>
      <c r="D55" s="88"/>
      <c r="E55" s="88"/>
      <c r="F55" s="88"/>
      <c r="G55" s="88"/>
      <c r="H55" s="88"/>
      <c r="I55" s="88"/>
      <c r="J55" s="88"/>
      <c r="K55" s="88"/>
      <c r="L55" s="88"/>
      <c r="M55" s="88">
        <f t="shared" si="2"/>
        <v>122930.55</v>
      </c>
    </row>
    <row r="56" spans="1:13" s="32" customFormat="1" ht="99.75" customHeight="1">
      <c r="A56" s="128"/>
      <c r="B56" s="19" t="s">
        <v>49</v>
      </c>
      <c r="C56" s="88">
        <f>C55</f>
        <v>122930.55</v>
      </c>
      <c r="D56" s="88"/>
      <c r="E56" s="88"/>
      <c r="F56" s="88"/>
      <c r="G56" s="88"/>
      <c r="H56" s="88"/>
      <c r="I56" s="88"/>
      <c r="J56" s="88"/>
      <c r="K56" s="88"/>
      <c r="L56" s="88"/>
      <c r="M56" s="88">
        <f t="shared" si="2"/>
        <v>122930.55</v>
      </c>
    </row>
    <row r="57" spans="1:13" s="32" customFormat="1" ht="33">
      <c r="A57" s="45" t="s">
        <v>62</v>
      </c>
      <c r="B57" s="126" t="s">
        <v>63</v>
      </c>
      <c r="C57" s="88">
        <f>4920160+1205400+501975.94+200000-2489.49</f>
        <v>6825046.45</v>
      </c>
      <c r="D57" s="88"/>
      <c r="E57" s="88"/>
      <c r="F57" s="88"/>
      <c r="G57" s="88"/>
      <c r="H57" s="88"/>
      <c r="I57" s="88"/>
      <c r="J57" s="88"/>
      <c r="K57" s="88"/>
      <c r="L57" s="88"/>
      <c r="M57" s="88">
        <f t="shared" si="2"/>
        <v>6825046.45</v>
      </c>
    </row>
    <row r="58" spans="1:13" s="32" customFormat="1" ht="90.75" customHeight="1">
      <c r="A58" s="45"/>
      <c r="B58" s="19" t="s">
        <v>49</v>
      </c>
      <c r="C58" s="88">
        <f>C57</f>
        <v>6825046.45</v>
      </c>
      <c r="D58" s="88"/>
      <c r="E58" s="88"/>
      <c r="F58" s="88"/>
      <c r="G58" s="88"/>
      <c r="H58" s="88"/>
      <c r="I58" s="88"/>
      <c r="J58" s="88"/>
      <c r="K58" s="88"/>
      <c r="L58" s="88"/>
      <c r="M58" s="88">
        <f t="shared" si="2"/>
        <v>6825046.45</v>
      </c>
    </row>
    <row r="59" spans="1:13" s="32" customFormat="1" ht="35.25" customHeight="1">
      <c r="A59" s="42" t="s">
        <v>64</v>
      </c>
      <c r="B59" s="116" t="s">
        <v>65</v>
      </c>
      <c r="C59" s="88">
        <f>114181+34000</f>
        <v>148181</v>
      </c>
      <c r="D59" s="88"/>
      <c r="E59" s="88"/>
      <c r="F59" s="88"/>
      <c r="G59" s="88"/>
      <c r="H59" s="88"/>
      <c r="I59" s="88"/>
      <c r="J59" s="88"/>
      <c r="K59" s="88"/>
      <c r="L59" s="88"/>
      <c r="M59" s="88">
        <f t="shared" si="2"/>
        <v>148181</v>
      </c>
    </row>
    <row r="60" spans="1:13" s="32" customFormat="1" ht="37.5" customHeight="1">
      <c r="A60" s="124" t="s">
        <v>73</v>
      </c>
      <c r="B60" s="116" t="s">
        <v>114</v>
      </c>
      <c r="C60" s="88">
        <f>4284141+30006-179000</f>
        <v>4135147</v>
      </c>
      <c r="D60" s="88">
        <f>2830839-134703</f>
        <v>2696136</v>
      </c>
      <c r="E60" s="88">
        <f>180840+4800</f>
        <v>185640</v>
      </c>
      <c r="F60" s="88">
        <f>G60+J60</f>
        <v>117700</v>
      </c>
      <c r="G60" s="88">
        <v>117700</v>
      </c>
      <c r="H60" s="88">
        <v>77333</v>
      </c>
      <c r="I60" s="88">
        <v>3136</v>
      </c>
      <c r="J60" s="88">
        <f>K60</f>
        <v>0</v>
      </c>
      <c r="K60" s="88"/>
      <c r="L60" s="88"/>
      <c r="M60" s="88">
        <f t="shared" si="2"/>
        <v>4252847</v>
      </c>
    </row>
    <row r="61" spans="1:13" s="32" customFormat="1" ht="96.75" customHeight="1">
      <c r="A61" s="124" t="s">
        <v>115</v>
      </c>
      <c r="B61" s="125" t="s">
        <v>116</v>
      </c>
      <c r="C61" s="88">
        <f>184120-6400</f>
        <v>177720</v>
      </c>
      <c r="D61" s="88"/>
      <c r="E61" s="88"/>
      <c r="F61" s="88"/>
      <c r="G61" s="88"/>
      <c r="H61" s="88"/>
      <c r="I61" s="88"/>
      <c r="J61" s="88"/>
      <c r="K61" s="88"/>
      <c r="L61" s="88"/>
      <c r="M61" s="88">
        <f t="shared" si="2"/>
        <v>177720</v>
      </c>
    </row>
    <row r="62" spans="1:13" s="32" customFormat="1" ht="33">
      <c r="A62" s="42" t="s">
        <v>74</v>
      </c>
      <c r="B62" s="116" t="s">
        <v>75</v>
      </c>
      <c r="C62" s="88">
        <f>8859791+2489.49</f>
        <v>8862280.49</v>
      </c>
      <c r="D62" s="88"/>
      <c r="E62" s="88"/>
      <c r="F62" s="88"/>
      <c r="G62" s="88"/>
      <c r="H62" s="88"/>
      <c r="I62" s="88"/>
      <c r="J62" s="88"/>
      <c r="K62" s="88"/>
      <c r="L62" s="88"/>
      <c r="M62" s="88">
        <f t="shared" si="2"/>
        <v>8862280.49</v>
      </c>
    </row>
    <row r="63" spans="1:13" s="32" customFormat="1" ht="102" customHeight="1">
      <c r="A63" s="42"/>
      <c r="B63" s="19" t="s">
        <v>49</v>
      </c>
      <c r="C63" s="88">
        <f>C62</f>
        <v>8862280.49</v>
      </c>
      <c r="D63" s="88"/>
      <c r="E63" s="88"/>
      <c r="F63" s="88"/>
      <c r="G63" s="88"/>
      <c r="H63" s="88"/>
      <c r="I63" s="88"/>
      <c r="J63" s="88"/>
      <c r="K63" s="88"/>
      <c r="L63" s="88"/>
      <c r="M63" s="88">
        <f t="shared" si="2"/>
        <v>8862280.49</v>
      </c>
    </row>
    <row r="64" spans="1:13" s="32" customFormat="1" ht="31.5" customHeight="1" hidden="1">
      <c r="A64" s="119" t="s">
        <v>285</v>
      </c>
      <c r="B64" s="99" t="s">
        <v>286</v>
      </c>
      <c r="C64" s="88">
        <f>C65</f>
        <v>0</v>
      </c>
      <c r="D64" s="88"/>
      <c r="E64" s="88"/>
      <c r="F64" s="88"/>
      <c r="G64" s="88"/>
      <c r="H64" s="88"/>
      <c r="I64" s="88"/>
      <c r="J64" s="88"/>
      <c r="K64" s="88"/>
      <c r="L64" s="88"/>
      <c r="M64" s="88">
        <f t="shared" si="2"/>
        <v>0</v>
      </c>
    </row>
    <row r="65" spans="1:13" s="32" customFormat="1" ht="31.5" customHeight="1" hidden="1">
      <c r="A65" s="119" t="s">
        <v>287</v>
      </c>
      <c r="B65" s="99" t="s">
        <v>288</v>
      </c>
      <c r="C65" s="88"/>
      <c r="D65" s="88"/>
      <c r="E65" s="88"/>
      <c r="F65" s="88"/>
      <c r="G65" s="88"/>
      <c r="H65" s="88"/>
      <c r="I65" s="88"/>
      <c r="J65" s="88"/>
      <c r="K65" s="88"/>
      <c r="L65" s="88"/>
      <c r="M65" s="88">
        <f t="shared" si="2"/>
        <v>0</v>
      </c>
    </row>
    <row r="66" spans="1:13" s="32" customFormat="1" ht="31.5" customHeight="1">
      <c r="A66" s="119" t="s">
        <v>284</v>
      </c>
      <c r="B66" s="99" t="s">
        <v>283</v>
      </c>
      <c r="C66" s="88"/>
      <c r="D66" s="88"/>
      <c r="E66" s="88"/>
      <c r="F66" s="88">
        <f>F67</f>
        <v>74363.29</v>
      </c>
      <c r="G66" s="88"/>
      <c r="H66" s="88"/>
      <c r="I66" s="88"/>
      <c r="J66" s="88">
        <f>J67</f>
        <v>74363.29</v>
      </c>
      <c r="K66" s="88">
        <f>K67</f>
        <v>74363.29</v>
      </c>
      <c r="L66" s="88">
        <f>L67</f>
        <v>0</v>
      </c>
      <c r="M66" s="88">
        <f t="shared" si="2"/>
        <v>74363.29</v>
      </c>
    </row>
    <row r="67" spans="1:13" s="32" customFormat="1" ht="25.5" customHeight="1">
      <c r="A67" s="42" t="s">
        <v>277</v>
      </c>
      <c r="B67" s="99" t="s">
        <v>278</v>
      </c>
      <c r="C67" s="88"/>
      <c r="D67" s="88"/>
      <c r="E67" s="88"/>
      <c r="F67" s="88">
        <f>J67</f>
        <v>74363.29</v>
      </c>
      <c r="G67" s="88"/>
      <c r="H67" s="88"/>
      <c r="I67" s="88"/>
      <c r="J67" s="88">
        <f>K67</f>
        <v>74363.29</v>
      </c>
      <c r="K67" s="88">
        <v>74363.29</v>
      </c>
      <c r="L67" s="88"/>
      <c r="M67" s="88">
        <f t="shared" si="2"/>
        <v>74363.29</v>
      </c>
    </row>
    <row r="68" spans="1:13" s="32" customFormat="1" ht="33" customHeight="1">
      <c r="A68" s="42" t="s">
        <v>187</v>
      </c>
      <c r="B68" s="129" t="s">
        <v>94</v>
      </c>
      <c r="C68" s="88">
        <f>C70</f>
        <v>1264650</v>
      </c>
      <c r="D68" s="88">
        <f aca="true" t="shared" si="7" ref="D68:L68">D70</f>
        <v>758699</v>
      </c>
      <c r="E68" s="88">
        <f t="shared" si="7"/>
        <v>87762</v>
      </c>
      <c r="F68" s="88">
        <f t="shared" si="7"/>
        <v>26178.97</v>
      </c>
      <c r="G68" s="88">
        <f t="shared" si="7"/>
        <v>2580</v>
      </c>
      <c r="H68" s="88">
        <f t="shared" si="7"/>
        <v>0</v>
      </c>
      <c r="I68" s="88">
        <f t="shared" si="7"/>
        <v>1908</v>
      </c>
      <c r="J68" s="88">
        <f t="shared" si="7"/>
        <v>23598.97</v>
      </c>
      <c r="K68" s="88">
        <f t="shared" si="7"/>
        <v>23598.97</v>
      </c>
      <c r="L68" s="88">
        <f t="shared" si="7"/>
        <v>0</v>
      </c>
      <c r="M68" s="88">
        <f t="shared" si="2"/>
        <v>1290828.97</v>
      </c>
    </row>
    <row r="69" spans="1:13" s="32" customFormat="1" ht="33" customHeight="1">
      <c r="A69" s="151" t="s">
        <v>80</v>
      </c>
      <c r="B69" s="97" t="s">
        <v>81</v>
      </c>
      <c r="C69" s="88">
        <f>C70</f>
        <v>1264650</v>
      </c>
      <c r="D69" s="88">
        <f aca="true" t="shared" si="8" ref="D69:L69">D70</f>
        <v>758699</v>
      </c>
      <c r="E69" s="88">
        <f t="shared" si="8"/>
        <v>87762</v>
      </c>
      <c r="F69" s="88">
        <f t="shared" si="8"/>
        <v>26178.97</v>
      </c>
      <c r="G69" s="88">
        <f t="shared" si="8"/>
        <v>2580</v>
      </c>
      <c r="H69" s="88">
        <f t="shared" si="8"/>
        <v>0</v>
      </c>
      <c r="I69" s="88">
        <f t="shared" si="8"/>
        <v>1908</v>
      </c>
      <c r="J69" s="88">
        <f t="shared" si="8"/>
        <v>23598.97</v>
      </c>
      <c r="K69" s="88">
        <f t="shared" si="8"/>
        <v>23598.97</v>
      </c>
      <c r="L69" s="88">
        <f t="shared" si="8"/>
        <v>0</v>
      </c>
      <c r="M69" s="88">
        <f t="shared" si="2"/>
        <v>1290828.97</v>
      </c>
    </row>
    <row r="70" spans="1:13" s="32" customFormat="1" ht="36.75" customHeight="1">
      <c r="A70" s="42" t="s">
        <v>84</v>
      </c>
      <c r="B70" s="116" t="s">
        <v>85</v>
      </c>
      <c r="C70" s="88">
        <f>1286700+11550-33600</f>
        <v>1264650</v>
      </c>
      <c r="D70" s="88">
        <f>792375-33676</f>
        <v>758699</v>
      </c>
      <c r="E70" s="88">
        <f>75462+12300</f>
        <v>87762</v>
      </c>
      <c r="F70" s="88">
        <f>G70+J70</f>
        <v>26178.97</v>
      </c>
      <c r="G70" s="88">
        <v>2580</v>
      </c>
      <c r="H70" s="88"/>
      <c r="I70" s="88">
        <v>1908</v>
      </c>
      <c r="J70" s="88">
        <f>K70</f>
        <v>23598.97</v>
      </c>
      <c r="K70" s="88">
        <v>23598.97</v>
      </c>
      <c r="L70" s="88"/>
      <c r="M70" s="88">
        <f t="shared" si="2"/>
        <v>1290828.97</v>
      </c>
    </row>
    <row r="71" spans="1:13" s="32" customFormat="1" ht="22.5" customHeight="1">
      <c r="A71" s="130"/>
      <c r="B71" s="131" t="s">
        <v>86</v>
      </c>
      <c r="C71" s="88">
        <f aca="true" t="shared" si="9" ref="C71:L71">C15+C32+C68</f>
        <v>105625878.99999999</v>
      </c>
      <c r="D71" s="88">
        <f t="shared" si="9"/>
        <v>9442605</v>
      </c>
      <c r="E71" s="88">
        <f t="shared" si="9"/>
        <v>738672</v>
      </c>
      <c r="F71" s="88">
        <f>F15+F32+F68</f>
        <v>629865.3899999999</v>
      </c>
      <c r="G71" s="88">
        <f t="shared" si="9"/>
        <v>120284</v>
      </c>
      <c r="H71" s="88">
        <f t="shared" si="9"/>
        <v>77333</v>
      </c>
      <c r="I71" s="88">
        <f t="shared" si="9"/>
        <v>5044</v>
      </c>
      <c r="J71" s="88">
        <f t="shared" si="9"/>
        <v>509581.39</v>
      </c>
      <c r="K71" s="88">
        <f t="shared" si="9"/>
        <v>509581.39</v>
      </c>
      <c r="L71" s="88">
        <f t="shared" si="9"/>
        <v>321260.46</v>
      </c>
      <c r="M71" s="88">
        <f t="shared" si="2"/>
        <v>106255744.38999999</v>
      </c>
    </row>
    <row r="72" spans="1:13" s="32" customFormat="1" ht="33">
      <c r="A72" s="132"/>
      <c r="B72" s="133" t="s">
        <v>95</v>
      </c>
      <c r="C72" s="88">
        <f>C34+C35+C36</f>
        <v>89582126.99999999</v>
      </c>
      <c r="D72" s="88">
        <f aca="true" t="shared" si="10" ref="D72:M72">D34+D35+D36</f>
        <v>0</v>
      </c>
      <c r="E72" s="88">
        <f t="shared" si="10"/>
        <v>0</v>
      </c>
      <c r="F72" s="88">
        <f t="shared" si="10"/>
        <v>121260.46</v>
      </c>
      <c r="G72" s="88">
        <f t="shared" si="10"/>
        <v>0</v>
      </c>
      <c r="H72" s="88">
        <f t="shared" si="10"/>
        <v>0</v>
      </c>
      <c r="I72" s="88">
        <f t="shared" si="10"/>
        <v>0</v>
      </c>
      <c r="J72" s="88">
        <f t="shared" si="10"/>
        <v>121260.46</v>
      </c>
      <c r="K72" s="88">
        <f t="shared" si="10"/>
        <v>121260.46</v>
      </c>
      <c r="L72" s="88">
        <f t="shared" si="10"/>
        <v>121260.46</v>
      </c>
      <c r="M72" s="88">
        <f t="shared" si="10"/>
        <v>89703387.45999998</v>
      </c>
    </row>
  </sheetData>
  <sheetProtection/>
  <mergeCells count="24">
    <mergeCell ref="D12:D13"/>
    <mergeCell ref="E12:E13"/>
    <mergeCell ref="K12:K13"/>
    <mergeCell ref="M10:M13"/>
    <mergeCell ref="H11:I11"/>
    <mergeCell ref="F11:F13"/>
    <mergeCell ref="J11:J13"/>
    <mergeCell ref="K11:L11"/>
    <mergeCell ref="I12:I13"/>
    <mergeCell ref="G11:G13"/>
    <mergeCell ref="H12:H13"/>
    <mergeCell ref="A10:A11"/>
    <mergeCell ref="B12:B13"/>
    <mergeCell ref="C11:C13"/>
    <mergeCell ref="B10:B11"/>
    <mergeCell ref="A12:A13"/>
    <mergeCell ref="C10:E10"/>
    <mergeCell ref="D11:E11"/>
    <mergeCell ref="I1:L1"/>
    <mergeCell ref="I2:L2"/>
    <mergeCell ref="I3:M3"/>
    <mergeCell ref="A7:M7"/>
    <mergeCell ref="I4:M4"/>
    <mergeCell ref="F10:L10"/>
  </mergeCells>
  <printOptions/>
  <pageMargins left="0.7086614173228347" right="0.7086614173228347" top="1.1811023622047245" bottom="0.3937007874015748" header="0.5118110236220472" footer="0.5118110236220472"/>
  <pageSetup horizontalDpi="600" verticalDpi="600" orientation="landscape" paperSize="9" scale="47" r:id="rId1"/>
  <headerFooter alignWithMargins="0">
    <oddHeader>&amp;C&amp;"Bookman Old Style,обычный"&amp;18 4</oddHeader>
  </headerFooter>
  <rowBreaks count="3" manualBreakCount="3">
    <brk id="32" max="12" man="1"/>
    <brk id="41" max="255" man="1"/>
    <brk id="55" max="12" man="1"/>
  </rowBreaks>
</worksheet>
</file>

<file path=xl/worksheets/sheet4.xml><?xml version="1.0" encoding="utf-8"?>
<worksheet xmlns="http://schemas.openxmlformats.org/spreadsheetml/2006/main" xmlns:r="http://schemas.openxmlformats.org/officeDocument/2006/relationships">
  <dimension ref="A1:O57"/>
  <sheetViews>
    <sheetView view="pageBreakPreview" zoomScale="50" zoomScaleNormal="70" zoomScaleSheetLayoutView="50" zoomScalePageLayoutView="0" workbookViewId="0" topLeftCell="A1">
      <pane xSplit="3" ySplit="12" topLeftCell="D51" activePane="bottomRight" state="frozen"/>
      <selection pane="topLeft" activeCell="A1" sqref="A1"/>
      <selection pane="topRight" activeCell="D1" sqref="D1"/>
      <selection pane="bottomLeft" activeCell="A14" sqref="A14"/>
      <selection pane="bottomRight" activeCell="J4" sqref="J4:N4"/>
    </sheetView>
  </sheetViews>
  <sheetFormatPr defaultColWidth="9.00390625" defaultRowHeight="12.75"/>
  <cols>
    <col min="1" max="1" width="16.75390625" style="91" customWidth="1"/>
    <col min="2" max="2" width="19.75390625" style="1" customWidth="1"/>
    <col min="3" max="3" width="83.75390625" style="1" customWidth="1"/>
    <col min="4" max="4" width="23.875" style="1" customWidth="1"/>
    <col min="5" max="5" width="18.375" style="1" customWidth="1"/>
    <col min="6" max="6" width="16.375" style="1" customWidth="1"/>
    <col min="7" max="7" width="16.00390625" style="1" customWidth="1"/>
    <col min="8" max="8" width="17.375" style="1" customWidth="1"/>
    <col min="9" max="9" width="16.00390625" style="1" customWidth="1"/>
    <col min="10" max="10" width="14.375" style="1" customWidth="1"/>
    <col min="11" max="12" width="17.00390625" style="1" customWidth="1"/>
    <col min="13" max="13" width="19.75390625" style="1" customWidth="1"/>
    <col min="14" max="14" width="24.00390625" style="1" customWidth="1"/>
    <col min="15" max="16384" width="9.125" style="1" customWidth="1"/>
  </cols>
  <sheetData>
    <row r="1" spans="1:15" s="9" customFormat="1" ht="24">
      <c r="A1" s="7"/>
      <c r="B1" s="7"/>
      <c r="C1" s="7"/>
      <c r="D1" s="7"/>
      <c r="E1" s="7"/>
      <c r="F1" s="7"/>
      <c r="G1" s="7"/>
      <c r="H1" s="7"/>
      <c r="I1" s="7"/>
      <c r="J1" s="169" t="s">
        <v>268</v>
      </c>
      <c r="K1" s="169"/>
      <c r="L1" s="169"/>
      <c r="M1" s="169"/>
      <c r="N1" s="169"/>
      <c r="O1" s="8"/>
    </row>
    <row r="2" spans="1:15" s="9" customFormat="1" ht="25.5" customHeight="1">
      <c r="A2" s="10"/>
      <c r="B2" s="10"/>
      <c r="C2" s="10"/>
      <c r="D2" s="10"/>
      <c r="E2" s="10"/>
      <c r="F2" s="10"/>
      <c r="G2" s="10"/>
      <c r="H2" s="10"/>
      <c r="I2" s="11"/>
      <c r="J2" s="170" t="s">
        <v>30</v>
      </c>
      <c r="K2" s="170"/>
      <c r="L2" s="170"/>
      <c r="M2" s="170"/>
      <c r="N2" s="170"/>
      <c r="O2" s="12"/>
    </row>
    <row r="3" spans="1:15" s="9" customFormat="1" ht="27" customHeight="1">
      <c r="A3" s="10"/>
      <c r="B3" s="10"/>
      <c r="C3" s="10"/>
      <c r="D3" s="10"/>
      <c r="E3" s="10"/>
      <c r="F3" s="10"/>
      <c r="G3" s="10"/>
      <c r="H3" s="10"/>
      <c r="I3" s="13"/>
      <c r="J3" s="169" t="s">
        <v>88</v>
      </c>
      <c r="K3" s="169"/>
      <c r="L3" s="169"/>
      <c r="M3" s="169"/>
      <c r="N3" s="169"/>
      <c r="O3" s="8"/>
    </row>
    <row r="4" spans="1:15" s="9" customFormat="1" ht="30" customHeight="1">
      <c r="A4" s="10"/>
      <c r="B4" s="10"/>
      <c r="C4" s="10"/>
      <c r="D4" s="10"/>
      <c r="E4" s="10"/>
      <c r="F4" s="10"/>
      <c r="G4" s="10"/>
      <c r="H4" s="10"/>
      <c r="I4" s="10"/>
      <c r="J4" s="169" t="s">
        <v>315</v>
      </c>
      <c r="K4" s="169"/>
      <c r="L4" s="169"/>
      <c r="M4" s="169"/>
      <c r="N4" s="169"/>
      <c r="O4" s="8"/>
    </row>
    <row r="5" spans="1:15" s="9" customFormat="1" ht="18">
      <c r="A5" s="10"/>
      <c r="B5" s="10"/>
      <c r="C5" s="10"/>
      <c r="D5" s="10"/>
      <c r="E5" s="10"/>
      <c r="F5" s="10"/>
      <c r="G5" s="10"/>
      <c r="H5" s="10"/>
      <c r="I5" s="10"/>
      <c r="J5" s="10"/>
      <c r="K5" s="14"/>
      <c r="L5" s="15"/>
      <c r="M5" s="15"/>
      <c r="N5" s="15"/>
      <c r="O5" s="15"/>
    </row>
    <row r="6" spans="1:15" s="9" customFormat="1" ht="59.25" customHeight="1">
      <c r="A6" s="163" t="s">
        <v>294</v>
      </c>
      <c r="B6" s="163"/>
      <c r="C6" s="163"/>
      <c r="D6" s="163"/>
      <c r="E6" s="163"/>
      <c r="F6" s="163"/>
      <c r="G6" s="163"/>
      <c r="H6" s="163"/>
      <c r="I6" s="163"/>
      <c r="J6" s="163"/>
      <c r="K6" s="163"/>
      <c r="L6" s="163"/>
      <c r="M6" s="163"/>
      <c r="N6" s="163"/>
      <c r="O6" s="16"/>
    </row>
    <row r="7" spans="13:14" ht="15">
      <c r="M7" s="3"/>
      <c r="N7" s="3" t="s">
        <v>32</v>
      </c>
    </row>
    <row r="8" spans="1:14" ht="15" customHeight="1">
      <c r="A8" s="171" t="s">
        <v>226</v>
      </c>
      <c r="B8" s="160" t="s">
        <v>228</v>
      </c>
      <c r="C8" s="160" t="s">
        <v>227</v>
      </c>
      <c r="D8" s="160" t="s">
        <v>2</v>
      </c>
      <c r="E8" s="160"/>
      <c r="F8" s="160"/>
      <c r="G8" s="160" t="s">
        <v>7</v>
      </c>
      <c r="H8" s="160"/>
      <c r="I8" s="160"/>
      <c r="J8" s="160"/>
      <c r="K8" s="160"/>
      <c r="L8" s="160"/>
      <c r="M8" s="160"/>
      <c r="N8" s="160" t="s">
        <v>12</v>
      </c>
    </row>
    <row r="9" spans="1:14" ht="15">
      <c r="A9" s="171"/>
      <c r="B9" s="160"/>
      <c r="C9" s="160"/>
      <c r="D9" s="160" t="s">
        <v>3</v>
      </c>
      <c r="E9" s="160" t="s">
        <v>4</v>
      </c>
      <c r="F9" s="160"/>
      <c r="G9" s="160" t="s">
        <v>3</v>
      </c>
      <c r="H9" s="160" t="s">
        <v>8</v>
      </c>
      <c r="I9" s="160" t="s">
        <v>4</v>
      </c>
      <c r="J9" s="160"/>
      <c r="K9" s="160" t="s">
        <v>9</v>
      </c>
      <c r="L9" s="160" t="s">
        <v>4</v>
      </c>
      <c r="M9" s="160"/>
      <c r="N9" s="160"/>
    </row>
    <row r="10" spans="1:14" ht="15" customHeight="1">
      <c r="A10" s="171"/>
      <c r="B10" s="160"/>
      <c r="C10" s="160"/>
      <c r="D10" s="160"/>
      <c r="E10" s="160" t="s">
        <v>5</v>
      </c>
      <c r="F10" s="160" t="s">
        <v>6</v>
      </c>
      <c r="G10" s="160"/>
      <c r="H10" s="160"/>
      <c r="I10" s="160" t="s">
        <v>5</v>
      </c>
      <c r="J10" s="160" t="s">
        <v>6</v>
      </c>
      <c r="K10" s="160"/>
      <c r="L10" s="160" t="s">
        <v>10</v>
      </c>
      <c r="M10" s="160" t="s">
        <v>11</v>
      </c>
      <c r="N10" s="160"/>
    </row>
    <row r="11" spans="1:14" ht="15" customHeight="1">
      <c r="A11" s="171"/>
      <c r="B11" s="160"/>
      <c r="C11" s="160"/>
      <c r="D11" s="160"/>
      <c r="E11" s="160"/>
      <c r="F11" s="160"/>
      <c r="G11" s="160"/>
      <c r="H11" s="160"/>
      <c r="I11" s="160"/>
      <c r="J11" s="160"/>
      <c r="K11" s="160"/>
      <c r="L11" s="160"/>
      <c r="M11" s="160"/>
      <c r="N11" s="160"/>
    </row>
    <row r="12" spans="1:14" ht="135" customHeight="1">
      <c r="A12" s="171"/>
      <c r="B12" s="160"/>
      <c r="C12" s="160"/>
      <c r="D12" s="160"/>
      <c r="E12" s="160"/>
      <c r="F12" s="160"/>
      <c r="G12" s="160"/>
      <c r="H12" s="160"/>
      <c r="I12" s="160"/>
      <c r="J12" s="160"/>
      <c r="K12" s="160"/>
      <c r="L12" s="160"/>
      <c r="M12" s="160"/>
      <c r="N12" s="160"/>
    </row>
    <row r="13" spans="1:14" ht="15">
      <c r="A13" s="92">
        <v>1</v>
      </c>
      <c r="B13" s="18">
        <v>2</v>
      </c>
      <c r="C13" s="18">
        <v>3</v>
      </c>
      <c r="D13" s="18">
        <v>4</v>
      </c>
      <c r="E13" s="18">
        <v>5</v>
      </c>
      <c r="F13" s="18">
        <v>6</v>
      </c>
      <c r="G13" s="18">
        <v>7</v>
      </c>
      <c r="H13" s="18">
        <v>8</v>
      </c>
      <c r="I13" s="18">
        <v>9</v>
      </c>
      <c r="J13" s="18">
        <v>10</v>
      </c>
      <c r="K13" s="18">
        <v>10</v>
      </c>
      <c r="L13" s="18">
        <v>11</v>
      </c>
      <c r="M13" s="18">
        <v>12</v>
      </c>
      <c r="N13" s="18" t="s">
        <v>13</v>
      </c>
    </row>
    <row r="14" spans="1:14" s="32" customFormat="1" ht="18.75" customHeight="1">
      <c r="A14" s="40" t="s">
        <v>197</v>
      </c>
      <c r="B14" s="134" t="s">
        <v>185</v>
      </c>
      <c r="C14" s="135" t="str">
        <f aca="true" t="shared" si="0" ref="C14:N14">C15</f>
        <v>Виконком Довгинцівської  районної в місті ради</v>
      </c>
      <c r="D14" s="136">
        <f t="shared" si="0"/>
        <v>10318054</v>
      </c>
      <c r="E14" s="136">
        <f t="shared" si="0"/>
        <v>5987770</v>
      </c>
      <c r="F14" s="136">
        <f t="shared" si="0"/>
        <v>465270</v>
      </c>
      <c r="G14" s="136">
        <f t="shared" si="0"/>
        <v>290362.67</v>
      </c>
      <c r="H14" s="136">
        <f t="shared" si="0"/>
        <v>4</v>
      </c>
      <c r="I14" s="136">
        <f t="shared" si="0"/>
        <v>0</v>
      </c>
      <c r="J14" s="136">
        <f t="shared" si="0"/>
        <v>0</v>
      </c>
      <c r="K14" s="136">
        <f t="shared" si="0"/>
        <v>290358.67</v>
      </c>
      <c r="L14" s="136">
        <f t="shared" si="0"/>
        <v>290358.67</v>
      </c>
      <c r="M14" s="136">
        <f t="shared" si="0"/>
        <v>200000</v>
      </c>
      <c r="N14" s="136">
        <f t="shared" si="0"/>
        <v>10608416.67</v>
      </c>
    </row>
    <row r="15" spans="1:14" s="32" customFormat="1" ht="19.5" customHeight="1">
      <c r="A15" s="40" t="s">
        <v>198</v>
      </c>
      <c r="B15" s="42"/>
      <c r="C15" s="137" t="s">
        <v>90</v>
      </c>
      <c r="D15" s="88">
        <f>D16+D17+D19+D20+D22+D23+D24+D26+D27+D29</f>
        <v>10318054</v>
      </c>
      <c r="E15" s="88">
        <f aca="true" t="shared" si="1" ref="E15:M15">E16+E17+E19+E20+E22+E23+E24+E26</f>
        <v>5987770</v>
      </c>
      <c r="F15" s="88">
        <f t="shared" si="1"/>
        <v>465270</v>
      </c>
      <c r="G15" s="88">
        <f t="shared" si="1"/>
        <v>290362.67</v>
      </c>
      <c r="H15" s="88">
        <f t="shared" si="1"/>
        <v>4</v>
      </c>
      <c r="I15" s="88">
        <f t="shared" si="1"/>
        <v>0</v>
      </c>
      <c r="J15" s="88">
        <f t="shared" si="1"/>
        <v>0</v>
      </c>
      <c r="K15" s="88">
        <f t="shared" si="1"/>
        <v>290358.67</v>
      </c>
      <c r="L15" s="88">
        <f t="shared" si="1"/>
        <v>290358.67</v>
      </c>
      <c r="M15" s="88">
        <f t="shared" si="1"/>
        <v>200000</v>
      </c>
      <c r="N15" s="88">
        <f>D15+G15</f>
        <v>10608416.67</v>
      </c>
    </row>
    <row r="16" spans="1:14" s="32" customFormat="1" ht="52.5" customHeight="1">
      <c r="A16" s="40" t="s">
        <v>312</v>
      </c>
      <c r="B16" s="138" t="s">
        <v>35</v>
      </c>
      <c r="C16" s="74" t="s">
        <v>310</v>
      </c>
      <c r="D16" s="88">
        <f>9875000+134986+15722-113100</f>
        <v>9912608</v>
      </c>
      <c r="E16" s="88">
        <f>6126230-138460</f>
        <v>5987770</v>
      </c>
      <c r="F16" s="88">
        <f>398270+67000</f>
        <v>465270</v>
      </c>
      <c r="G16" s="88">
        <f>H16+K16</f>
        <v>290362.67</v>
      </c>
      <c r="H16" s="88">
        <v>4</v>
      </c>
      <c r="I16" s="88"/>
      <c r="J16" s="88"/>
      <c r="K16" s="88">
        <f>L16</f>
        <v>290358.67</v>
      </c>
      <c r="L16" s="88">
        <f>M16+90358.67</f>
        <v>290358.67</v>
      </c>
      <c r="M16" s="88">
        <v>200000</v>
      </c>
      <c r="N16" s="88">
        <f aca="true" t="shared" si="2" ref="N16:N56">D16+G16</f>
        <v>10202970.67</v>
      </c>
    </row>
    <row r="17" spans="1:14" s="32" customFormat="1" ht="32.25" customHeight="1">
      <c r="A17" s="40" t="s">
        <v>261</v>
      </c>
      <c r="B17" s="138" t="s">
        <v>64</v>
      </c>
      <c r="C17" s="140" t="s">
        <v>297</v>
      </c>
      <c r="D17" s="139">
        <f>109350+131424</f>
        <v>240774</v>
      </c>
      <c r="E17" s="88"/>
      <c r="F17" s="88"/>
      <c r="G17" s="88"/>
      <c r="H17" s="88"/>
      <c r="I17" s="88"/>
      <c r="J17" s="88"/>
      <c r="K17" s="88"/>
      <c r="L17" s="88"/>
      <c r="M17" s="88"/>
      <c r="N17" s="88">
        <f t="shared" si="2"/>
        <v>240774</v>
      </c>
    </row>
    <row r="18" spans="1:14" s="32" customFormat="1" ht="21.75" customHeight="1">
      <c r="A18" s="40" t="s">
        <v>229</v>
      </c>
      <c r="B18" s="138"/>
      <c r="C18" s="140" t="s">
        <v>230</v>
      </c>
      <c r="D18" s="139">
        <f>D19</f>
        <v>34700</v>
      </c>
      <c r="E18" s="139"/>
      <c r="F18" s="139"/>
      <c r="G18" s="139"/>
      <c r="H18" s="139"/>
      <c r="I18" s="139"/>
      <c r="J18" s="139"/>
      <c r="K18" s="139"/>
      <c r="L18" s="139"/>
      <c r="M18" s="139"/>
      <c r="N18" s="88">
        <f t="shared" si="2"/>
        <v>34700</v>
      </c>
    </row>
    <row r="19" spans="1:14" s="32" customFormat="1" ht="33">
      <c r="A19" s="40" t="s">
        <v>231</v>
      </c>
      <c r="B19" s="138" t="s">
        <v>66</v>
      </c>
      <c r="C19" s="140" t="s">
        <v>206</v>
      </c>
      <c r="D19" s="139">
        <v>34700</v>
      </c>
      <c r="E19" s="88"/>
      <c r="F19" s="88"/>
      <c r="G19" s="88"/>
      <c r="H19" s="88"/>
      <c r="I19" s="88"/>
      <c r="J19" s="88"/>
      <c r="K19" s="88"/>
      <c r="L19" s="88"/>
      <c r="M19" s="88"/>
      <c r="N19" s="88">
        <f t="shared" si="2"/>
        <v>34700</v>
      </c>
    </row>
    <row r="20" spans="1:14" s="32" customFormat="1" ht="25.5" customHeight="1">
      <c r="A20" s="40" t="s">
        <v>232</v>
      </c>
      <c r="B20" s="138" t="s">
        <v>67</v>
      </c>
      <c r="C20" s="140" t="s">
        <v>207</v>
      </c>
      <c r="D20" s="139">
        <f>6200+1572</f>
        <v>7772</v>
      </c>
      <c r="E20" s="88"/>
      <c r="F20" s="88"/>
      <c r="G20" s="88"/>
      <c r="H20" s="88"/>
      <c r="I20" s="88"/>
      <c r="J20" s="88"/>
      <c r="K20" s="88"/>
      <c r="L20" s="88"/>
      <c r="M20" s="88"/>
      <c r="N20" s="88">
        <f t="shared" si="2"/>
        <v>7772</v>
      </c>
    </row>
    <row r="21" spans="1:14" s="32" customFormat="1" ht="31.5" customHeight="1">
      <c r="A21" s="40" t="s">
        <v>233</v>
      </c>
      <c r="B21" s="138"/>
      <c r="C21" s="140" t="s">
        <v>234</v>
      </c>
      <c r="D21" s="139">
        <f>D22+D23</f>
        <v>28350</v>
      </c>
      <c r="E21" s="88"/>
      <c r="F21" s="88"/>
      <c r="G21" s="88"/>
      <c r="H21" s="88"/>
      <c r="I21" s="88"/>
      <c r="J21" s="88"/>
      <c r="K21" s="88"/>
      <c r="L21" s="88"/>
      <c r="M21" s="88"/>
      <c r="N21" s="88">
        <f t="shared" si="2"/>
        <v>28350</v>
      </c>
    </row>
    <row r="22" spans="1:14" s="32" customFormat="1" ht="33">
      <c r="A22" s="40" t="s">
        <v>235</v>
      </c>
      <c r="B22" s="138" t="s">
        <v>69</v>
      </c>
      <c r="C22" s="140" t="s">
        <v>208</v>
      </c>
      <c r="D22" s="139">
        <f>4200+1150</f>
        <v>5350</v>
      </c>
      <c r="E22" s="88"/>
      <c r="F22" s="88"/>
      <c r="G22" s="88"/>
      <c r="H22" s="88"/>
      <c r="I22" s="88"/>
      <c r="J22" s="88"/>
      <c r="K22" s="88"/>
      <c r="L22" s="88"/>
      <c r="M22" s="88"/>
      <c r="N22" s="88">
        <f t="shared" si="2"/>
        <v>5350</v>
      </c>
    </row>
    <row r="23" spans="1:14" s="32" customFormat="1" ht="22.5" customHeight="1">
      <c r="A23" s="40" t="s">
        <v>236</v>
      </c>
      <c r="B23" s="138" t="s">
        <v>71</v>
      </c>
      <c r="C23" s="140" t="s">
        <v>209</v>
      </c>
      <c r="D23" s="139">
        <f>13000+10000</f>
        <v>23000</v>
      </c>
      <c r="E23" s="88"/>
      <c r="F23" s="88"/>
      <c r="G23" s="88"/>
      <c r="H23" s="88"/>
      <c r="I23" s="88"/>
      <c r="J23" s="88"/>
      <c r="K23" s="88"/>
      <c r="L23" s="88"/>
      <c r="M23" s="88"/>
      <c r="N23" s="88">
        <f t="shared" si="2"/>
        <v>23000</v>
      </c>
    </row>
    <row r="24" spans="1:14" s="32" customFormat="1" ht="33">
      <c r="A24" s="40" t="s">
        <v>199</v>
      </c>
      <c r="B24" s="141" t="s">
        <v>78</v>
      </c>
      <c r="C24" s="140" t="s">
        <v>210</v>
      </c>
      <c r="D24" s="139">
        <f>52300+28000-10000</f>
        <v>70300</v>
      </c>
      <c r="E24" s="88"/>
      <c r="F24" s="88"/>
      <c r="G24" s="88"/>
      <c r="H24" s="88"/>
      <c r="I24" s="88"/>
      <c r="J24" s="88"/>
      <c r="K24" s="88"/>
      <c r="L24" s="88"/>
      <c r="M24" s="88"/>
      <c r="N24" s="88">
        <f t="shared" si="2"/>
        <v>70300</v>
      </c>
    </row>
    <row r="25" spans="1:14" s="32" customFormat="1" ht="24" customHeight="1">
      <c r="A25" s="40" t="s">
        <v>200</v>
      </c>
      <c r="B25" s="141"/>
      <c r="C25" s="140" t="s">
        <v>237</v>
      </c>
      <c r="D25" s="139">
        <f>D26</f>
        <v>20550</v>
      </c>
      <c r="E25" s="88"/>
      <c r="F25" s="88"/>
      <c r="G25" s="88"/>
      <c r="H25" s="88"/>
      <c r="I25" s="88"/>
      <c r="J25" s="88"/>
      <c r="K25" s="88"/>
      <c r="L25" s="88"/>
      <c r="M25" s="88"/>
      <c r="N25" s="88">
        <f t="shared" si="2"/>
        <v>20550</v>
      </c>
    </row>
    <row r="26" spans="1:14" s="32" customFormat="1" ht="34.5" customHeight="1">
      <c r="A26" s="40" t="s">
        <v>238</v>
      </c>
      <c r="B26" s="138" t="s">
        <v>82</v>
      </c>
      <c r="C26" s="140" t="s">
        <v>239</v>
      </c>
      <c r="D26" s="139">
        <f>16100+4450</f>
        <v>20550</v>
      </c>
      <c r="E26" s="88"/>
      <c r="F26" s="88"/>
      <c r="G26" s="88"/>
      <c r="H26" s="88"/>
      <c r="I26" s="88"/>
      <c r="J26" s="88"/>
      <c r="K26" s="88"/>
      <c r="L26" s="88"/>
      <c r="M26" s="88"/>
      <c r="N26" s="88">
        <f t="shared" si="2"/>
        <v>20550</v>
      </c>
    </row>
    <row r="27" spans="1:14" s="32" customFormat="1" ht="25.5" customHeight="1" hidden="1">
      <c r="A27" s="40" t="s">
        <v>269</v>
      </c>
      <c r="B27" s="138"/>
      <c r="C27" s="142" t="s">
        <v>271</v>
      </c>
      <c r="D27" s="139">
        <f>D28</f>
        <v>0</v>
      </c>
      <c r="E27" s="139"/>
      <c r="F27" s="139"/>
      <c r="G27" s="139"/>
      <c r="H27" s="139"/>
      <c r="I27" s="139"/>
      <c r="J27" s="139"/>
      <c r="K27" s="139"/>
      <c r="L27" s="139"/>
      <c r="M27" s="139"/>
      <c r="N27" s="88">
        <f t="shared" si="2"/>
        <v>0</v>
      </c>
    </row>
    <row r="28" spans="1:14" s="32" customFormat="1" ht="51" customHeight="1" hidden="1">
      <c r="A28" s="40" t="s">
        <v>270</v>
      </c>
      <c r="B28" s="138" t="s">
        <v>265</v>
      </c>
      <c r="C28" s="116" t="s">
        <v>266</v>
      </c>
      <c r="D28" s="139"/>
      <c r="E28" s="88"/>
      <c r="F28" s="88"/>
      <c r="G28" s="88"/>
      <c r="H28" s="88"/>
      <c r="I28" s="88"/>
      <c r="J28" s="88"/>
      <c r="K28" s="88"/>
      <c r="L28" s="88"/>
      <c r="M28" s="88"/>
      <c r="N28" s="88">
        <f t="shared" si="2"/>
        <v>0</v>
      </c>
    </row>
    <row r="29" spans="1:14" s="32" customFormat="1" ht="28.5" customHeight="1">
      <c r="A29" s="40" t="s">
        <v>279</v>
      </c>
      <c r="B29" s="42" t="s">
        <v>274</v>
      </c>
      <c r="C29" s="116" t="s">
        <v>276</v>
      </c>
      <c r="D29" s="139">
        <v>3000</v>
      </c>
      <c r="E29" s="88"/>
      <c r="F29" s="88"/>
      <c r="G29" s="88"/>
      <c r="H29" s="88"/>
      <c r="I29" s="88"/>
      <c r="J29" s="88"/>
      <c r="K29" s="88"/>
      <c r="L29" s="88"/>
      <c r="M29" s="88"/>
      <c r="N29" s="88">
        <f t="shared" si="2"/>
        <v>3000</v>
      </c>
    </row>
    <row r="30" spans="1:14" s="32" customFormat="1" ht="33">
      <c r="A30" s="40" t="s">
        <v>201</v>
      </c>
      <c r="B30" s="42" t="s">
        <v>186</v>
      </c>
      <c r="C30" s="143" t="s">
        <v>92</v>
      </c>
      <c r="D30" s="88">
        <f>D31</f>
        <v>94043174.99999999</v>
      </c>
      <c r="E30" s="88">
        <f aca="true" t="shared" si="3" ref="E30:N30">E31</f>
        <v>2696136</v>
      </c>
      <c r="F30" s="88">
        <f t="shared" si="3"/>
        <v>185640</v>
      </c>
      <c r="G30" s="88">
        <f t="shared" si="3"/>
        <v>313323.75</v>
      </c>
      <c r="H30" s="88">
        <f t="shared" si="3"/>
        <v>117700</v>
      </c>
      <c r="I30" s="88">
        <f t="shared" si="3"/>
        <v>77333</v>
      </c>
      <c r="J30" s="88">
        <f t="shared" si="3"/>
        <v>3136</v>
      </c>
      <c r="K30" s="88">
        <f t="shared" si="3"/>
        <v>195623.75</v>
      </c>
      <c r="L30" s="88">
        <f t="shared" si="3"/>
        <v>195623.75</v>
      </c>
      <c r="M30" s="88">
        <f t="shared" si="3"/>
        <v>121260.46</v>
      </c>
      <c r="N30" s="88">
        <f t="shared" si="3"/>
        <v>94356498.74999999</v>
      </c>
    </row>
    <row r="31" spans="1:14" s="32" customFormat="1" ht="34.5" customHeight="1">
      <c r="A31" s="40" t="s">
        <v>202</v>
      </c>
      <c r="B31" s="38"/>
      <c r="C31" s="120" t="s">
        <v>92</v>
      </c>
      <c r="D31" s="88">
        <f>D32+D34+D35+D45+D47+D49+D50</f>
        <v>94043174.99999999</v>
      </c>
      <c r="E31" s="88">
        <f>E32+E34+E35+E45+E47+E49+E50</f>
        <v>2696136</v>
      </c>
      <c r="F31" s="88">
        <f>F32+F34+F35+F45+F47+F49+F50</f>
        <v>185640</v>
      </c>
      <c r="G31" s="88">
        <f aca="true" t="shared" si="4" ref="G31:M31">G32+G34+G35+G45+G47+G49+G50+G52</f>
        <v>313323.75</v>
      </c>
      <c r="H31" s="88">
        <f t="shared" si="4"/>
        <v>117700</v>
      </c>
      <c r="I31" s="88">
        <f t="shared" si="4"/>
        <v>77333</v>
      </c>
      <c r="J31" s="88">
        <f t="shared" si="4"/>
        <v>3136</v>
      </c>
      <c r="K31" s="88">
        <f t="shared" si="4"/>
        <v>195623.75</v>
      </c>
      <c r="L31" s="88">
        <f t="shared" si="4"/>
        <v>195623.75</v>
      </c>
      <c r="M31" s="88">
        <f t="shared" si="4"/>
        <v>121260.46</v>
      </c>
      <c r="N31" s="88">
        <f t="shared" si="2"/>
        <v>94356498.74999999</v>
      </c>
    </row>
    <row r="32" spans="1:14" s="32" customFormat="1" ht="51" customHeight="1">
      <c r="A32" s="40" t="s">
        <v>311</v>
      </c>
      <c r="B32" s="122" t="s">
        <v>40</v>
      </c>
      <c r="C32" s="123" t="s">
        <v>223</v>
      </c>
      <c r="D32" s="88">
        <f>1165281-103064-52000-690</f>
        <v>1009527</v>
      </c>
      <c r="E32" s="88"/>
      <c r="F32" s="88"/>
      <c r="G32" s="88"/>
      <c r="H32" s="88"/>
      <c r="I32" s="88"/>
      <c r="J32" s="88"/>
      <c r="K32" s="88"/>
      <c r="L32" s="88"/>
      <c r="M32" s="88"/>
      <c r="N32" s="88">
        <f t="shared" si="2"/>
        <v>1009527</v>
      </c>
    </row>
    <row r="33" spans="1:14" s="32" customFormat="1" ht="189" customHeight="1">
      <c r="A33" s="40" t="s">
        <v>203</v>
      </c>
      <c r="B33" s="122"/>
      <c r="C33" s="144" t="s">
        <v>259</v>
      </c>
      <c r="D33" s="88"/>
      <c r="E33" s="88"/>
      <c r="F33" s="88"/>
      <c r="G33" s="88">
        <f aca="true" t="shared" si="5" ref="G33:M33">G34</f>
        <v>121260.46</v>
      </c>
      <c r="H33" s="88"/>
      <c r="I33" s="88"/>
      <c r="J33" s="88"/>
      <c r="K33" s="88">
        <f t="shared" si="5"/>
        <v>121260.46</v>
      </c>
      <c r="L33" s="88">
        <f t="shared" si="5"/>
        <v>121260.46</v>
      </c>
      <c r="M33" s="88">
        <f t="shared" si="5"/>
        <v>121260.46</v>
      </c>
      <c r="N33" s="88">
        <f t="shared" si="2"/>
        <v>121260.46</v>
      </c>
    </row>
    <row r="34" spans="1:14" s="32" customFormat="1" ht="208.5" customHeight="1">
      <c r="A34" s="40" t="s">
        <v>240</v>
      </c>
      <c r="B34" s="124" t="s">
        <v>46</v>
      </c>
      <c r="C34" s="125" t="s">
        <v>211</v>
      </c>
      <c r="D34" s="88"/>
      <c r="E34" s="88"/>
      <c r="F34" s="88"/>
      <c r="G34" s="88">
        <f>H34+K34</f>
        <v>121260.46</v>
      </c>
      <c r="H34" s="88"/>
      <c r="I34" s="88"/>
      <c r="J34" s="88"/>
      <c r="K34" s="88">
        <f>L34</f>
        <v>121260.46</v>
      </c>
      <c r="L34" s="88">
        <f>M34</f>
        <v>121260.46</v>
      </c>
      <c r="M34" s="88">
        <f>179265-43792.05-14212.49</f>
        <v>121260.46</v>
      </c>
      <c r="N34" s="88">
        <f t="shared" si="2"/>
        <v>121260.46</v>
      </c>
    </row>
    <row r="35" spans="1:14" s="32" customFormat="1" ht="53.25" customHeight="1">
      <c r="A35" s="40" t="s">
        <v>225</v>
      </c>
      <c r="B35" s="124"/>
      <c r="C35" s="125" t="s">
        <v>290</v>
      </c>
      <c r="D35" s="88">
        <f>SUM(D36:D44)</f>
        <v>88572599.99999999</v>
      </c>
      <c r="E35" s="88"/>
      <c r="F35" s="88"/>
      <c r="G35" s="88"/>
      <c r="H35" s="88"/>
      <c r="I35" s="88"/>
      <c r="J35" s="88"/>
      <c r="K35" s="88"/>
      <c r="L35" s="88"/>
      <c r="M35" s="88"/>
      <c r="N35" s="88">
        <f t="shared" si="2"/>
        <v>88572599.99999999</v>
      </c>
    </row>
    <row r="36" spans="1:14" s="32" customFormat="1" ht="19.5" customHeight="1">
      <c r="A36" s="40" t="s">
        <v>241</v>
      </c>
      <c r="B36" s="45" t="s">
        <v>47</v>
      </c>
      <c r="C36" s="126" t="s">
        <v>212</v>
      </c>
      <c r="D36" s="88">
        <f>1186363-180000</f>
        <v>1006363</v>
      </c>
      <c r="E36" s="88"/>
      <c r="F36" s="88"/>
      <c r="G36" s="88"/>
      <c r="H36" s="88"/>
      <c r="I36" s="88"/>
      <c r="J36" s="88"/>
      <c r="K36" s="88"/>
      <c r="L36" s="88"/>
      <c r="M36" s="88"/>
      <c r="N36" s="88">
        <f t="shared" si="2"/>
        <v>1006363</v>
      </c>
    </row>
    <row r="37" spans="1:14" s="32" customFormat="1" ht="27.75" customHeight="1">
      <c r="A37" s="40" t="s">
        <v>242</v>
      </c>
      <c r="B37" s="45" t="s">
        <v>50</v>
      </c>
      <c r="C37" s="126" t="s">
        <v>213</v>
      </c>
      <c r="D37" s="88">
        <f>12223464-1534100-4964475-993949.49</f>
        <v>4730939.51</v>
      </c>
      <c r="E37" s="88"/>
      <c r="F37" s="88"/>
      <c r="G37" s="88"/>
      <c r="H37" s="88"/>
      <c r="I37" s="88"/>
      <c r="J37" s="88"/>
      <c r="K37" s="88"/>
      <c r="L37" s="88"/>
      <c r="M37" s="88"/>
      <c r="N37" s="88">
        <f t="shared" si="2"/>
        <v>4730939.51</v>
      </c>
    </row>
    <row r="38" spans="1:14" s="32" customFormat="1" ht="17.25" customHeight="1">
      <c r="A38" s="40" t="s">
        <v>243</v>
      </c>
      <c r="B38" s="45" t="s">
        <v>52</v>
      </c>
      <c r="C38" s="126" t="s">
        <v>214</v>
      </c>
      <c r="D38" s="88">
        <f>53616140-1920200-1637700+400000+230000</f>
        <v>50688240</v>
      </c>
      <c r="E38" s="88"/>
      <c r="F38" s="88"/>
      <c r="G38" s="88"/>
      <c r="H38" s="88"/>
      <c r="I38" s="88"/>
      <c r="J38" s="88"/>
      <c r="K38" s="88"/>
      <c r="L38" s="88"/>
      <c r="M38" s="88"/>
      <c r="N38" s="88">
        <f t="shared" si="2"/>
        <v>50688240</v>
      </c>
    </row>
    <row r="39" spans="1:14" s="32" customFormat="1" ht="33">
      <c r="A39" s="40" t="s">
        <v>244</v>
      </c>
      <c r="B39" s="45" t="s">
        <v>54</v>
      </c>
      <c r="C39" s="126" t="s">
        <v>215</v>
      </c>
      <c r="D39" s="88">
        <f>5816040-272000-367122</f>
        <v>5176918</v>
      </c>
      <c r="E39" s="88"/>
      <c r="F39" s="88"/>
      <c r="G39" s="88"/>
      <c r="H39" s="88"/>
      <c r="I39" s="88"/>
      <c r="J39" s="88"/>
      <c r="K39" s="88"/>
      <c r="L39" s="88"/>
      <c r="M39" s="88"/>
      <c r="N39" s="88">
        <f t="shared" si="2"/>
        <v>5176918</v>
      </c>
    </row>
    <row r="40" spans="1:14" s="32" customFormat="1" ht="22.5" customHeight="1">
      <c r="A40" s="40" t="s">
        <v>245</v>
      </c>
      <c r="B40" s="45" t="s">
        <v>56</v>
      </c>
      <c r="C40" s="126" t="s">
        <v>216</v>
      </c>
      <c r="D40" s="88">
        <f>10119396+199272+50000+18700</f>
        <v>10387368</v>
      </c>
      <c r="E40" s="88"/>
      <c r="F40" s="88"/>
      <c r="G40" s="88"/>
      <c r="H40" s="88"/>
      <c r="I40" s="88"/>
      <c r="J40" s="88"/>
      <c r="K40" s="88"/>
      <c r="L40" s="88"/>
      <c r="M40" s="88"/>
      <c r="N40" s="88">
        <f t="shared" si="2"/>
        <v>10387368</v>
      </c>
    </row>
    <row r="41" spans="1:14" s="32" customFormat="1" ht="24" customHeight="1">
      <c r="A41" s="40" t="s">
        <v>246</v>
      </c>
      <c r="B41" s="38" t="s">
        <v>58</v>
      </c>
      <c r="C41" s="127" t="s">
        <v>217</v>
      </c>
      <c r="D41" s="88">
        <f>782514-30000+20000</f>
        <v>772514</v>
      </c>
      <c r="E41" s="88"/>
      <c r="F41" s="88"/>
      <c r="G41" s="88"/>
      <c r="H41" s="88"/>
      <c r="I41" s="88"/>
      <c r="J41" s="88"/>
      <c r="K41" s="88"/>
      <c r="L41" s="88"/>
      <c r="M41" s="88"/>
      <c r="N41" s="88">
        <f t="shared" si="2"/>
        <v>772514</v>
      </c>
    </row>
    <row r="42" spans="1:14" s="32" customFormat="1" ht="27" customHeight="1">
      <c r="A42" s="40" t="s">
        <v>247</v>
      </c>
      <c r="B42" s="128" t="s">
        <v>60</v>
      </c>
      <c r="C42" s="127" t="s">
        <v>218</v>
      </c>
      <c r="D42" s="88">
        <f>145632-21600-23075+21973.55</f>
        <v>122930.55</v>
      </c>
      <c r="E42" s="88"/>
      <c r="F42" s="88"/>
      <c r="G42" s="88"/>
      <c r="H42" s="88"/>
      <c r="I42" s="88"/>
      <c r="J42" s="88"/>
      <c r="K42" s="88"/>
      <c r="L42" s="88"/>
      <c r="M42" s="88"/>
      <c r="N42" s="88">
        <f t="shared" si="2"/>
        <v>122930.55</v>
      </c>
    </row>
    <row r="43" spans="1:14" s="32" customFormat="1" ht="36.75" customHeight="1">
      <c r="A43" s="40" t="s">
        <v>248</v>
      </c>
      <c r="B43" s="45" t="s">
        <v>62</v>
      </c>
      <c r="C43" s="126" t="s">
        <v>219</v>
      </c>
      <c r="D43" s="88">
        <f>4920160+1205400+501975.94+200000-2489.49</f>
        <v>6825046.45</v>
      </c>
      <c r="E43" s="88"/>
      <c r="F43" s="88"/>
      <c r="G43" s="88"/>
      <c r="H43" s="88"/>
      <c r="I43" s="88"/>
      <c r="J43" s="88"/>
      <c r="K43" s="88"/>
      <c r="L43" s="88"/>
      <c r="M43" s="88"/>
      <c r="N43" s="88">
        <f t="shared" si="2"/>
        <v>6825046.45</v>
      </c>
    </row>
    <row r="44" spans="1:14" s="32" customFormat="1" ht="33">
      <c r="A44" s="40" t="s">
        <v>249</v>
      </c>
      <c r="B44" s="42" t="s">
        <v>74</v>
      </c>
      <c r="C44" s="116" t="s">
        <v>221</v>
      </c>
      <c r="D44" s="88">
        <f>8859791+2489.49</f>
        <v>8862280.49</v>
      </c>
      <c r="E44" s="88"/>
      <c r="F44" s="88"/>
      <c r="G44" s="88"/>
      <c r="H44" s="88"/>
      <c r="I44" s="88"/>
      <c r="J44" s="88"/>
      <c r="K44" s="88"/>
      <c r="L44" s="88"/>
      <c r="M44" s="88"/>
      <c r="N44" s="88">
        <f>D44+G44</f>
        <v>8862280.49</v>
      </c>
    </row>
    <row r="45" spans="1:14" s="32" customFormat="1" ht="22.5" customHeight="1">
      <c r="A45" s="40" t="s">
        <v>262</v>
      </c>
      <c r="B45" s="42" t="s">
        <v>64</v>
      </c>
      <c r="C45" s="32" t="s">
        <v>309</v>
      </c>
      <c r="D45" s="88">
        <f>114181+34000</f>
        <v>148181</v>
      </c>
      <c r="E45" s="88"/>
      <c r="F45" s="88"/>
      <c r="G45" s="88"/>
      <c r="H45" s="88"/>
      <c r="I45" s="88"/>
      <c r="J45" s="88"/>
      <c r="K45" s="88"/>
      <c r="L45" s="88"/>
      <c r="M45" s="88"/>
      <c r="N45" s="88">
        <f t="shared" si="2"/>
        <v>148181</v>
      </c>
    </row>
    <row r="46" spans="1:14" s="32" customFormat="1" ht="49.5">
      <c r="A46" s="40" t="s">
        <v>250</v>
      </c>
      <c r="B46" s="42"/>
      <c r="C46" s="116" t="s">
        <v>251</v>
      </c>
      <c r="D46" s="88">
        <f>D47</f>
        <v>4135147</v>
      </c>
      <c r="E46" s="88">
        <f aca="true" t="shared" si="6" ref="E46:M46">E47</f>
        <v>2696136</v>
      </c>
      <c r="F46" s="88">
        <f t="shared" si="6"/>
        <v>185640</v>
      </c>
      <c r="G46" s="88">
        <f t="shared" si="6"/>
        <v>117700</v>
      </c>
      <c r="H46" s="88">
        <f t="shared" si="6"/>
        <v>117700</v>
      </c>
      <c r="I46" s="88">
        <f t="shared" si="6"/>
        <v>77333</v>
      </c>
      <c r="J46" s="88">
        <f t="shared" si="6"/>
        <v>3136</v>
      </c>
      <c r="K46" s="88">
        <f t="shared" si="6"/>
        <v>0</v>
      </c>
      <c r="L46" s="88">
        <f t="shared" si="6"/>
        <v>0</v>
      </c>
      <c r="M46" s="88">
        <f t="shared" si="6"/>
        <v>0</v>
      </c>
      <c r="N46" s="88">
        <f t="shared" si="2"/>
        <v>4252847</v>
      </c>
    </row>
    <row r="47" spans="1:14" s="32" customFormat="1" ht="51" customHeight="1">
      <c r="A47" s="40" t="s">
        <v>252</v>
      </c>
      <c r="B47" s="124" t="s">
        <v>73</v>
      </c>
      <c r="C47" s="116" t="s">
        <v>222</v>
      </c>
      <c r="D47" s="88">
        <f>4284141+30006-179000</f>
        <v>4135147</v>
      </c>
      <c r="E47" s="88">
        <f>2830839-134703</f>
        <v>2696136</v>
      </c>
      <c r="F47" s="88">
        <f>180840+4800</f>
        <v>185640</v>
      </c>
      <c r="G47" s="88">
        <f>H47+K47</f>
        <v>117700</v>
      </c>
      <c r="H47" s="88">
        <v>117700</v>
      </c>
      <c r="I47" s="88">
        <v>77333</v>
      </c>
      <c r="J47" s="88">
        <v>3136</v>
      </c>
      <c r="K47" s="88">
        <f>L47</f>
        <v>0</v>
      </c>
      <c r="L47" s="88"/>
      <c r="M47" s="88"/>
      <c r="N47" s="88">
        <f>D47+G47</f>
        <v>4252847</v>
      </c>
    </row>
    <row r="48" spans="1:14" s="32" customFormat="1" ht="73.5" customHeight="1">
      <c r="A48" s="40" t="s">
        <v>253</v>
      </c>
      <c r="B48" s="124"/>
      <c r="C48" s="116" t="s">
        <v>254</v>
      </c>
      <c r="D48" s="88">
        <f>D49</f>
        <v>177720</v>
      </c>
      <c r="E48" s="88"/>
      <c r="F48" s="88"/>
      <c r="G48" s="88"/>
      <c r="H48" s="88"/>
      <c r="I48" s="88"/>
      <c r="J48" s="88"/>
      <c r="K48" s="88"/>
      <c r="L48" s="88"/>
      <c r="M48" s="88"/>
      <c r="N48" s="88">
        <f>D48+G48</f>
        <v>177720</v>
      </c>
    </row>
    <row r="49" spans="1:14" s="32" customFormat="1" ht="66.75" customHeight="1">
      <c r="A49" s="40" t="s">
        <v>255</v>
      </c>
      <c r="B49" s="124" t="s">
        <v>115</v>
      </c>
      <c r="C49" s="125" t="s">
        <v>220</v>
      </c>
      <c r="D49" s="88">
        <f>184120-6400</f>
        <v>177720</v>
      </c>
      <c r="E49" s="88"/>
      <c r="F49" s="88"/>
      <c r="G49" s="88"/>
      <c r="H49" s="88"/>
      <c r="I49" s="88"/>
      <c r="J49" s="88"/>
      <c r="K49" s="88"/>
      <c r="L49" s="88"/>
      <c r="M49" s="88"/>
      <c r="N49" s="88">
        <f t="shared" si="2"/>
        <v>177720</v>
      </c>
    </row>
    <row r="50" spans="1:14" s="32" customFormat="1" ht="31.5" customHeight="1" hidden="1">
      <c r="A50" s="40" t="s">
        <v>289</v>
      </c>
      <c r="B50" s="124" t="s">
        <v>287</v>
      </c>
      <c r="C50" s="99" t="s">
        <v>298</v>
      </c>
      <c r="D50" s="88"/>
      <c r="E50" s="88"/>
      <c r="F50" s="88"/>
      <c r="G50" s="88"/>
      <c r="H50" s="88"/>
      <c r="I50" s="88"/>
      <c r="J50" s="88"/>
      <c r="K50" s="88"/>
      <c r="L50" s="88"/>
      <c r="M50" s="88"/>
      <c r="N50" s="88">
        <f t="shared" si="2"/>
        <v>0</v>
      </c>
    </row>
    <row r="51" spans="1:14" s="32" customFormat="1" ht="23.25" customHeight="1">
      <c r="A51" s="40" t="s">
        <v>282</v>
      </c>
      <c r="B51" s="124"/>
      <c r="C51" s="125" t="s">
        <v>283</v>
      </c>
      <c r="D51" s="88"/>
      <c r="E51" s="88"/>
      <c r="F51" s="88"/>
      <c r="G51" s="88">
        <f>G52</f>
        <v>74363.29</v>
      </c>
      <c r="H51" s="88"/>
      <c r="I51" s="88"/>
      <c r="J51" s="88"/>
      <c r="K51" s="88">
        <f>K52</f>
        <v>74363.29</v>
      </c>
      <c r="L51" s="88">
        <f>L52</f>
        <v>74363.29</v>
      </c>
      <c r="M51" s="88">
        <f>M52</f>
        <v>0</v>
      </c>
      <c r="N51" s="88">
        <f t="shared" si="2"/>
        <v>74363.29</v>
      </c>
    </row>
    <row r="52" spans="1:14" s="32" customFormat="1" ht="22.5" customHeight="1">
      <c r="A52" s="40" t="s">
        <v>280</v>
      </c>
      <c r="B52" s="124" t="s">
        <v>277</v>
      </c>
      <c r="C52" s="125" t="s">
        <v>281</v>
      </c>
      <c r="D52" s="88"/>
      <c r="E52" s="88"/>
      <c r="F52" s="88"/>
      <c r="G52" s="88">
        <f>K52</f>
        <v>74363.29</v>
      </c>
      <c r="H52" s="88"/>
      <c r="I52" s="88"/>
      <c r="J52" s="88"/>
      <c r="K52" s="88">
        <f>L52</f>
        <v>74363.29</v>
      </c>
      <c r="L52" s="88">
        <v>74363.29</v>
      </c>
      <c r="M52" s="88"/>
      <c r="N52" s="88">
        <f>D51+G52</f>
        <v>74363.29</v>
      </c>
    </row>
    <row r="53" spans="1:14" s="32" customFormat="1" ht="24" customHeight="1">
      <c r="A53" s="40" t="s">
        <v>204</v>
      </c>
      <c r="B53" s="124" t="s">
        <v>187</v>
      </c>
      <c r="C53" s="129" t="s">
        <v>94</v>
      </c>
      <c r="D53" s="88">
        <f>D54</f>
        <v>1264650</v>
      </c>
      <c r="E53" s="88">
        <f aca="true" t="shared" si="7" ref="E53:N53">E54</f>
        <v>758699</v>
      </c>
      <c r="F53" s="88">
        <f t="shared" si="7"/>
        <v>87762</v>
      </c>
      <c r="G53" s="88">
        <f t="shared" si="7"/>
        <v>26178.97</v>
      </c>
      <c r="H53" s="88">
        <f t="shared" si="7"/>
        <v>2580</v>
      </c>
      <c r="I53" s="88">
        <f t="shared" si="7"/>
        <v>0</v>
      </c>
      <c r="J53" s="88">
        <f t="shared" si="7"/>
        <v>1908</v>
      </c>
      <c r="K53" s="88">
        <f t="shared" si="7"/>
        <v>23598.97</v>
      </c>
      <c r="L53" s="88">
        <f t="shared" si="7"/>
        <v>23598.97</v>
      </c>
      <c r="M53" s="88">
        <f t="shared" si="7"/>
        <v>0</v>
      </c>
      <c r="N53" s="88">
        <f t="shared" si="7"/>
        <v>1290828.97</v>
      </c>
    </row>
    <row r="54" spans="1:14" s="32" customFormat="1" ht="21.75" customHeight="1">
      <c r="A54" s="40" t="s">
        <v>205</v>
      </c>
      <c r="B54" s="42"/>
      <c r="C54" s="129" t="s">
        <v>94</v>
      </c>
      <c r="D54" s="88">
        <f aca="true" t="shared" si="8" ref="D54:M54">D56</f>
        <v>1264650</v>
      </c>
      <c r="E54" s="88">
        <f t="shared" si="8"/>
        <v>758699</v>
      </c>
      <c r="F54" s="88">
        <f t="shared" si="8"/>
        <v>87762</v>
      </c>
      <c r="G54" s="88">
        <f t="shared" si="8"/>
        <v>26178.97</v>
      </c>
      <c r="H54" s="88">
        <f t="shared" si="8"/>
        <v>2580</v>
      </c>
      <c r="I54" s="88">
        <f t="shared" si="8"/>
        <v>0</v>
      </c>
      <c r="J54" s="88">
        <f t="shared" si="8"/>
        <v>1908</v>
      </c>
      <c r="K54" s="88">
        <f t="shared" si="8"/>
        <v>23598.97</v>
      </c>
      <c r="L54" s="88">
        <f t="shared" si="8"/>
        <v>23598.97</v>
      </c>
      <c r="M54" s="88">
        <f t="shared" si="8"/>
        <v>0</v>
      </c>
      <c r="N54" s="88">
        <f t="shared" si="2"/>
        <v>1290828.97</v>
      </c>
    </row>
    <row r="55" spans="1:14" s="32" customFormat="1" ht="25.5" customHeight="1">
      <c r="A55" s="40" t="s">
        <v>256</v>
      </c>
      <c r="B55" s="42"/>
      <c r="C55" s="129" t="s">
        <v>257</v>
      </c>
      <c r="D55" s="88">
        <f>D56</f>
        <v>1264650</v>
      </c>
      <c r="E55" s="88">
        <f aca="true" t="shared" si="9" ref="E55:M55">E56</f>
        <v>758699</v>
      </c>
      <c r="F55" s="88">
        <f t="shared" si="9"/>
        <v>87762</v>
      </c>
      <c r="G55" s="88">
        <f t="shared" si="9"/>
        <v>26178.97</v>
      </c>
      <c r="H55" s="88">
        <f t="shared" si="9"/>
        <v>2580</v>
      </c>
      <c r="I55" s="88">
        <f t="shared" si="9"/>
        <v>0</v>
      </c>
      <c r="J55" s="88">
        <f t="shared" si="9"/>
        <v>1908</v>
      </c>
      <c r="K55" s="88">
        <f t="shared" si="9"/>
        <v>23598.97</v>
      </c>
      <c r="L55" s="88">
        <f t="shared" si="9"/>
        <v>23598.97</v>
      </c>
      <c r="M55" s="88">
        <f t="shared" si="9"/>
        <v>0</v>
      </c>
      <c r="N55" s="88">
        <f t="shared" si="2"/>
        <v>1290828.97</v>
      </c>
    </row>
    <row r="56" spans="1:14" s="32" customFormat="1" ht="37.5" customHeight="1">
      <c r="A56" s="40" t="s">
        <v>258</v>
      </c>
      <c r="B56" s="42" t="s">
        <v>84</v>
      </c>
      <c r="C56" s="116" t="s">
        <v>260</v>
      </c>
      <c r="D56" s="88">
        <f>1286700+11550-33600</f>
        <v>1264650</v>
      </c>
      <c r="E56" s="88">
        <f>792375-33676</f>
        <v>758699</v>
      </c>
      <c r="F56" s="88">
        <f>75462+12300</f>
        <v>87762</v>
      </c>
      <c r="G56" s="88">
        <f>H56+K56</f>
        <v>26178.97</v>
      </c>
      <c r="H56" s="88">
        <v>2580</v>
      </c>
      <c r="I56" s="88"/>
      <c r="J56" s="88">
        <v>1908</v>
      </c>
      <c r="K56" s="88">
        <f>L56</f>
        <v>23598.97</v>
      </c>
      <c r="L56" s="88">
        <v>23598.97</v>
      </c>
      <c r="M56" s="88"/>
      <c r="N56" s="88">
        <f t="shared" si="2"/>
        <v>1290828.97</v>
      </c>
    </row>
    <row r="57" spans="1:14" s="32" customFormat="1" ht="24" customHeight="1">
      <c r="A57" s="145"/>
      <c r="B57" s="130"/>
      <c r="C57" s="131" t="s">
        <v>86</v>
      </c>
      <c r="D57" s="88">
        <f aca="true" t="shared" si="10" ref="D57:N57">D14+D30+D53</f>
        <v>105625878.99999999</v>
      </c>
      <c r="E57" s="88">
        <f t="shared" si="10"/>
        <v>9442605</v>
      </c>
      <c r="F57" s="88">
        <f t="shared" si="10"/>
        <v>738672</v>
      </c>
      <c r="G57" s="88">
        <f t="shared" si="10"/>
        <v>629865.3899999999</v>
      </c>
      <c r="H57" s="88">
        <f t="shared" si="10"/>
        <v>120284</v>
      </c>
      <c r="I57" s="88">
        <f t="shared" si="10"/>
        <v>77333</v>
      </c>
      <c r="J57" s="88">
        <f t="shared" si="10"/>
        <v>5044</v>
      </c>
      <c r="K57" s="88">
        <f t="shared" si="10"/>
        <v>509581.39</v>
      </c>
      <c r="L57" s="88">
        <f t="shared" si="10"/>
        <v>509581.39</v>
      </c>
      <c r="M57" s="88">
        <f t="shared" si="10"/>
        <v>321260.46</v>
      </c>
      <c r="N57" s="88">
        <f t="shared" si="10"/>
        <v>106255744.38999999</v>
      </c>
    </row>
  </sheetData>
  <sheetProtection/>
  <mergeCells count="24">
    <mergeCell ref="K9:K12"/>
    <mergeCell ref="L9:M9"/>
    <mergeCell ref="E10:E12"/>
    <mergeCell ref="F10:F12"/>
    <mergeCell ref="I10:I12"/>
    <mergeCell ref="J10:J12"/>
    <mergeCell ref="L10:L12"/>
    <mergeCell ref="M10:M12"/>
    <mergeCell ref="D9:D12"/>
    <mergeCell ref="E9:F9"/>
    <mergeCell ref="G9:G12"/>
    <mergeCell ref="H9:H12"/>
    <mergeCell ref="C8:C12"/>
    <mergeCell ref="I9:J9"/>
    <mergeCell ref="J1:N1"/>
    <mergeCell ref="J2:N2"/>
    <mergeCell ref="J3:N3"/>
    <mergeCell ref="J4:N4"/>
    <mergeCell ref="A6:N6"/>
    <mergeCell ref="A8:A12"/>
    <mergeCell ref="B8:B12"/>
    <mergeCell ref="D8:F8"/>
    <mergeCell ref="G8:M8"/>
    <mergeCell ref="N8:N12"/>
  </mergeCells>
  <printOptions/>
  <pageMargins left="0.7086614173228347" right="0.7086614173228347" top="1.1811023622047245" bottom="0.3937007874015748" header="0.5118110236220472" footer="0.5118110236220472"/>
  <pageSetup horizontalDpi="600" verticalDpi="600" orientation="landscape" paperSize="9" scale="41" r:id="rId1"/>
  <headerFooter alignWithMargins="0">
    <oddHeader>&amp;C&amp;"Bookman Old Style,обычный"&amp;18 2</oddHeader>
  </headerFooter>
  <rowBreaks count="1" manualBreakCount="1">
    <brk id="33" max="255" man="1"/>
  </rowBreaks>
</worksheet>
</file>

<file path=xl/worksheets/sheet5.xml><?xml version="1.0" encoding="utf-8"?>
<worksheet xmlns="http://schemas.openxmlformats.org/spreadsheetml/2006/main" xmlns:r="http://schemas.openxmlformats.org/officeDocument/2006/relationships">
  <dimension ref="A1:I25"/>
  <sheetViews>
    <sheetView view="pageBreakPreview" zoomScale="60" zoomScaleNormal="80" workbookViewId="0" topLeftCell="A1">
      <selection activeCell="E4" sqref="E4:I4"/>
    </sheetView>
  </sheetViews>
  <sheetFormatPr defaultColWidth="9.00390625" defaultRowHeight="12.75"/>
  <cols>
    <col min="1" max="1" width="11.25390625" style="1" customWidth="1"/>
    <col min="2" max="2" width="57.375" style="1" customWidth="1"/>
    <col min="3" max="3" width="23.125" style="1" customWidth="1"/>
    <col min="4" max="4" width="18.625" style="1" customWidth="1"/>
    <col min="5" max="5" width="19.625" style="1" customWidth="1"/>
    <col min="6" max="6" width="21.125" style="1" customWidth="1"/>
    <col min="7" max="16384" width="9.125" style="1" customWidth="1"/>
  </cols>
  <sheetData>
    <row r="1" spans="4:9" ht="19.5" customHeight="1">
      <c r="D1" s="36"/>
      <c r="E1" s="172" t="s">
        <v>108</v>
      </c>
      <c r="F1" s="172"/>
      <c r="G1" s="8"/>
      <c r="H1" s="8"/>
      <c r="I1" s="8"/>
    </row>
    <row r="2" spans="5:9" ht="19.5" customHeight="1">
      <c r="E2" s="173" t="s">
        <v>30</v>
      </c>
      <c r="F2" s="173"/>
      <c r="G2" s="12"/>
      <c r="H2" s="12"/>
      <c r="I2" s="12"/>
    </row>
    <row r="3" spans="5:9" ht="19.5" customHeight="1">
      <c r="E3" s="172" t="s">
        <v>88</v>
      </c>
      <c r="F3" s="172"/>
      <c r="G3" s="8"/>
      <c r="H3" s="8"/>
      <c r="I3" s="8"/>
    </row>
    <row r="4" spans="5:9" ht="19.5" customHeight="1">
      <c r="E4" s="175" t="s">
        <v>315</v>
      </c>
      <c r="F4" s="175"/>
      <c r="G4" s="175"/>
      <c r="H4" s="175"/>
      <c r="I4" s="175"/>
    </row>
    <row r="5" spans="1:6" ht="55.5" customHeight="1">
      <c r="A5" s="177" t="s">
        <v>295</v>
      </c>
      <c r="B5" s="177"/>
      <c r="C5" s="177"/>
      <c r="D5" s="177"/>
      <c r="E5" s="177"/>
      <c r="F5" s="177"/>
    </row>
    <row r="6" ht="16.5">
      <c r="F6" s="23" t="s">
        <v>32</v>
      </c>
    </row>
    <row r="7" spans="1:6" ht="15.75">
      <c r="A7" s="174" t="s">
        <v>18</v>
      </c>
      <c r="B7" s="174" t="s">
        <v>19</v>
      </c>
      <c r="C7" s="174" t="s">
        <v>14</v>
      </c>
      <c r="D7" s="174" t="s">
        <v>99</v>
      </c>
      <c r="E7" s="174"/>
      <c r="F7" s="174" t="s">
        <v>3</v>
      </c>
    </row>
    <row r="8" spans="1:6" ht="31.5">
      <c r="A8" s="174"/>
      <c r="B8" s="174"/>
      <c r="C8" s="174"/>
      <c r="D8" s="27" t="s">
        <v>100</v>
      </c>
      <c r="E8" s="27" t="s">
        <v>101</v>
      </c>
      <c r="F8" s="174"/>
    </row>
    <row r="9" spans="1:6" ht="15.75">
      <c r="A9" s="30">
        <v>1</v>
      </c>
      <c r="B9" s="30">
        <v>2</v>
      </c>
      <c r="C9" s="30">
        <v>3</v>
      </c>
      <c r="D9" s="30">
        <v>4</v>
      </c>
      <c r="E9" s="30">
        <v>5</v>
      </c>
      <c r="F9" s="30">
        <v>6</v>
      </c>
    </row>
    <row r="10" spans="1:6" s="32" customFormat="1" ht="30" customHeight="1">
      <c r="A10" s="146">
        <v>200000</v>
      </c>
      <c r="B10" s="43" t="s">
        <v>102</v>
      </c>
      <c r="C10" s="147">
        <f>C11</f>
        <v>-99546.46000000002</v>
      </c>
      <c r="D10" s="147">
        <f>D11</f>
        <v>509581.39</v>
      </c>
      <c r="E10" s="147">
        <f>E11</f>
        <v>509581.39</v>
      </c>
      <c r="F10" s="147">
        <f aca="true" t="shared" si="0" ref="F10:F16">C10+D10</f>
        <v>410034.93</v>
      </c>
    </row>
    <row r="11" spans="1:6" s="32" customFormat="1" ht="38.25" customHeight="1">
      <c r="A11" s="146">
        <v>208000</v>
      </c>
      <c r="B11" s="43" t="s">
        <v>117</v>
      </c>
      <c r="C11" s="147">
        <f>C12-C13+C14</f>
        <v>-99546.46000000002</v>
      </c>
      <c r="D11" s="147">
        <f>D12-D13+D14</f>
        <v>509581.39</v>
      </c>
      <c r="E11" s="147">
        <f>E12-E13+E14</f>
        <v>509581.39</v>
      </c>
      <c r="F11" s="147">
        <f>F12-F13+F14</f>
        <v>410034.92999999993</v>
      </c>
    </row>
    <row r="12" spans="1:6" s="32" customFormat="1" ht="19.5" customHeight="1">
      <c r="A12" s="146">
        <v>208100</v>
      </c>
      <c r="B12" s="43" t="s">
        <v>103</v>
      </c>
      <c r="C12" s="147">
        <v>730224.72</v>
      </c>
      <c r="D12" s="147">
        <v>188320.93</v>
      </c>
      <c r="E12" s="147">
        <v>188320.93</v>
      </c>
      <c r="F12" s="147">
        <f t="shared" si="0"/>
        <v>918545.6499999999</v>
      </c>
    </row>
    <row r="13" spans="1:6" s="32" customFormat="1" ht="19.5" customHeight="1">
      <c r="A13" s="146">
        <v>208200</v>
      </c>
      <c r="B13" s="43" t="s">
        <v>104</v>
      </c>
      <c r="C13" s="147">
        <v>508510.72</v>
      </c>
      <c r="D13" s="147">
        <v>0</v>
      </c>
      <c r="E13" s="147">
        <v>0</v>
      </c>
      <c r="F13" s="147">
        <f t="shared" si="0"/>
        <v>508510.72</v>
      </c>
    </row>
    <row r="14" spans="1:6" s="32" customFormat="1" ht="51" customHeight="1">
      <c r="A14" s="146">
        <v>208400</v>
      </c>
      <c r="B14" s="43" t="s">
        <v>118</v>
      </c>
      <c r="C14" s="147">
        <f>-379265+43792.05+14212.49</f>
        <v>-321260.46</v>
      </c>
      <c r="D14" s="147">
        <f>379265-43792.05-14212.49</f>
        <v>321260.46</v>
      </c>
      <c r="E14" s="147">
        <v>321260.46</v>
      </c>
      <c r="F14" s="147">
        <f t="shared" si="0"/>
        <v>0</v>
      </c>
    </row>
    <row r="15" spans="1:6" s="32" customFormat="1" ht="27.75" customHeight="1">
      <c r="A15" s="178" t="s">
        <v>105</v>
      </c>
      <c r="B15" s="179"/>
      <c r="C15" s="147">
        <f>C10</f>
        <v>-99546.46000000002</v>
      </c>
      <c r="D15" s="147">
        <f>D10</f>
        <v>509581.39</v>
      </c>
      <c r="E15" s="147">
        <f>E10</f>
        <v>509581.39</v>
      </c>
      <c r="F15" s="147">
        <f t="shared" si="0"/>
        <v>410034.93</v>
      </c>
    </row>
    <row r="16" spans="1:6" s="32" customFormat="1" ht="21" customHeight="1">
      <c r="A16" s="146">
        <v>600000</v>
      </c>
      <c r="B16" s="43" t="s">
        <v>106</v>
      </c>
      <c r="C16" s="147">
        <f>C17</f>
        <v>-99546.46000000002</v>
      </c>
      <c r="D16" s="147">
        <f>D17</f>
        <v>509581.39</v>
      </c>
      <c r="E16" s="147">
        <f>E17</f>
        <v>509581.39</v>
      </c>
      <c r="F16" s="147">
        <f t="shared" si="0"/>
        <v>410034.93</v>
      </c>
    </row>
    <row r="17" spans="1:6" s="32" customFormat="1" ht="19.5" customHeight="1">
      <c r="A17" s="146">
        <v>602000</v>
      </c>
      <c r="B17" s="43" t="s">
        <v>308</v>
      </c>
      <c r="C17" s="147">
        <f>C18-C19+C20</f>
        <v>-99546.46000000002</v>
      </c>
      <c r="D17" s="147">
        <f>D18-D19+D20</f>
        <v>509581.39</v>
      </c>
      <c r="E17" s="147">
        <f>E18-E19+E20</f>
        <v>509581.39</v>
      </c>
      <c r="F17" s="147">
        <f>F18-F19+F20</f>
        <v>410034.92999999993</v>
      </c>
    </row>
    <row r="18" spans="1:6" s="32" customFormat="1" ht="19.5" customHeight="1">
      <c r="A18" s="146">
        <v>602100</v>
      </c>
      <c r="B18" s="43" t="s">
        <v>103</v>
      </c>
      <c r="C18" s="147">
        <v>730224.72</v>
      </c>
      <c r="D18" s="147">
        <v>188320.93</v>
      </c>
      <c r="E18" s="147">
        <v>188320.93</v>
      </c>
      <c r="F18" s="147">
        <f>C18+D18</f>
        <v>918545.6499999999</v>
      </c>
    </row>
    <row r="19" spans="1:6" s="32" customFormat="1" ht="19.5" customHeight="1">
      <c r="A19" s="146">
        <v>602200</v>
      </c>
      <c r="B19" s="43" t="s">
        <v>104</v>
      </c>
      <c r="C19" s="147">
        <v>508510.72</v>
      </c>
      <c r="D19" s="147">
        <v>0</v>
      </c>
      <c r="E19" s="147">
        <v>0</v>
      </c>
      <c r="F19" s="147">
        <f>C19+D19</f>
        <v>508510.72</v>
      </c>
    </row>
    <row r="20" spans="1:6" s="32" customFormat="1" ht="49.5" customHeight="1">
      <c r="A20" s="146">
        <v>602400</v>
      </c>
      <c r="B20" s="43" t="s">
        <v>118</v>
      </c>
      <c r="C20" s="147">
        <v>-321260.46</v>
      </c>
      <c r="D20" s="147">
        <v>321260.46</v>
      </c>
      <c r="E20" s="147">
        <v>321260.46</v>
      </c>
      <c r="F20" s="147">
        <f>C20+D20</f>
        <v>0</v>
      </c>
    </row>
    <row r="21" spans="1:6" s="32" customFormat="1" ht="28.5" customHeight="1">
      <c r="A21" s="178" t="s">
        <v>107</v>
      </c>
      <c r="B21" s="179"/>
      <c r="C21" s="147">
        <f>C16</f>
        <v>-99546.46000000002</v>
      </c>
      <c r="D21" s="147">
        <f>D16</f>
        <v>509581.39</v>
      </c>
      <c r="E21" s="147">
        <f>E16</f>
        <v>509581.39</v>
      </c>
      <c r="F21" s="147">
        <f>C21+D21</f>
        <v>410034.93</v>
      </c>
    </row>
    <row r="24" spans="1:7" ht="18.75" customHeight="1">
      <c r="A24" s="28"/>
      <c r="B24" s="86"/>
      <c r="C24" s="94"/>
      <c r="D24" s="86"/>
      <c r="E24" s="86"/>
      <c r="F24" s="86"/>
      <c r="G24" s="29"/>
    </row>
    <row r="25" spans="2:6" ht="18.75" customHeight="1">
      <c r="B25" s="176"/>
      <c r="C25" s="176"/>
      <c r="D25" s="176"/>
      <c r="E25" s="176"/>
      <c r="F25" s="176"/>
    </row>
  </sheetData>
  <sheetProtection/>
  <mergeCells count="13">
    <mergeCell ref="B25:F25"/>
    <mergeCell ref="C7:C8"/>
    <mergeCell ref="A5:F5"/>
    <mergeCell ref="A15:B15"/>
    <mergeCell ref="A21:B21"/>
    <mergeCell ref="A7:A8"/>
    <mergeCell ref="B7:B8"/>
    <mergeCell ref="E1:F1"/>
    <mergeCell ref="E2:F2"/>
    <mergeCell ref="E3:F3"/>
    <mergeCell ref="D7:E7"/>
    <mergeCell ref="F7:F8"/>
    <mergeCell ref="E4:I4"/>
  </mergeCells>
  <printOptions/>
  <pageMargins left="0.7480314960629921" right="0.7480314960629921" top="1.1811023622047245" bottom="0.5905511811023623" header="0.5118110236220472" footer="0.5118110236220472"/>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I19"/>
  <sheetViews>
    <sheetView view="pageBreakPreview" zoomScale="50" zoomScaleNormal="75" zoomScaleSheetLayoutView="50" zoomScalePageLayoutView="0" workbookViewId="0" topLeftCell="A1">
      <selection activeCell="E4" sqref="E4:I4"/>
    </sheetView>
  </sheetViews>
  <sheetFormatPr defaultColWidth="9.00390625" defaultRowHeight="12.75"/>
  <cols>
    <col min="1" max="1" width="15.375" style="1" customWidth="1"/>
    <col min="2" max="2" width="108.125" style="1" customWidth="1"/>
    <col min="3" max="3" width="28.625" style="1" customWidth="1"/>
    <col min="4" max="4" width="16.625" style="1" customWidth="1"/>
    <col min="5" max="5" width="14.875" style="1" customWidth="1"/>
    <col min="6" max="6" width="16.00390625" style="1" customWidth="1"/>
    <col min="7" max="7" width="17.875" style="1" customWidth="1"/>
    <col min="8" max="16384" width="9.125" style="1" customWidth="1"/>
  </cols>
  <sheetData>
    <row r="1" spans="5:7" ht="19.5">
      <c r="E1" s="180" t="s">
        <v>224</v>
      </c>
      <c r="F1" s="180"/>
      <c r="G1" s="31"/>
    </row>
    <row r="2" spans="5:7" ht="19.5">
      <c r="E2" s="181" t="s">
        <v>30</v>
      </c>
      <c r="F2" s="181"/>
      <c r="G2" s="181"/>
    </row>
    <row r="3" spans="5:7" ht="19.5">
      <c r="E3" s="180" t="s">
        <v>88</v>
      </c>
      <c r="F3" s="180"/>
      <c r="G3" s="180"/>
    </row>
    <row r="4" spans="5:9" ht="19.5">
      <c r="E4" s="180" t="s">
        <v>315</v>
      </c>
      <c r="F4" s="180"/>
      <c r="G4" s="180"/>
      <c r="H4" s="180"/>
      <c r="I4" s="180"/>
    </row>
    <row r="5" spans="1:7" ht="32.25" customHeight="1">
      <c r="A5" s="177" t="s">
        <v>296</v>
      </c>
      <c r="B5" s="177"/>
      <c r="C5" s="177"/>
      <c r="D5" s="177"/>
      <c r="E5" s="177"/>
      <c r="F5" s="177"/>
      <c r="G5" s="177"/>
    </row>
    <row r="6" ht="15" hidden="1"/>
    <row r="7" ht="15">
      <c r="G7" s="6" t="s">
        <v>32</v>
      </c>
    </row>
    <row r="8" spans="1:7" ht="78" customHeight="1">
      <c r="A8" s="2" t="s">
        <v>21</v>
      </c>
      <c r="B8" s="2" t="s">
        <v>16</v>
      </c>
      <c r="C8" s="182" t="s">
        <v>22</v>
      </c>
      <c r="D8" s="182" t="s">
        <v>23</v>
      </c>
      <c r="E8" s="182" t="s">
        <v>24</v>
      </c>
      <c r="F8" s="182" t="s">
        <v>25</v>
      </c>
      <c r="G8" s="182" t="s">
        <v>26</v>
      </c>
    </row>
    <row r="9" spans="1:7" ht="89.25" customHeight="1">
      <c r="A9" s="2" t="s">
        <v>0</v>
      </c>
      <c r="B9" s="2" t="s">
        <v>1</v>
      </c>
      <c r="C9" s="182"/>
      <c r="D9" s="182"/>
      <c r="E9" s="182"/>
      <c r="F9" s="182"/>
      <c r="G9" s="182"/>
    </row>
    <row r="10" spans="1:7" s="32" customFormat="1" ht="24" customHeight="1">
      <c r="A10" s="42" t="s">
        <v>185</v>
      </c>
      <c r="B10" s="43" t="s">
        <v>90</v>
      </c>
      <c r="C10" s="37"/>
      <c r="D10" s="37"/>
      <c r="E10" s="37"/>
      <c r="F10" s="37"/>
      <c r="G10" s="87">
        <f>G11</f>
        <v>290358.67</v>
      </c>
    </row>
    <row r="11" spans="1:7" s="32" customFormat="1" ht="25.5" customHeight="1">
      <c r="A11" s="42" t="s">
        <v>35</v>
      </c>
      <c r="B11" s="19" t="s">
        <v>91</v>
      </c>
      <c r="C11" s="47" t="s">
        <v>109</v>
      </c>
      <c r="D11" s="37"/>
      <c r="E11" s="37"/>
      <c r="F11" s="37"/>
      <c r="G11" s="87">
        <f>200000+90358.67</f>
        <v>290358.67</v>
      </c>
    </row>
    <row r="12" spans="1:7" s="32" customFormat="1" ht="39.75" customHeight="1">
      <c r="A12" s="38" t="s">
        <v>186</v>
      </c>
      <c r="B12" s="44" t="s">
        <v>92</v>
      </c>
      <c r="C12" s="47"/>
      <c r="D12" s="33"/>
      <c r="E12" s="33"/>
      <c r="F12" s="33"/>
      <c r="G12" s="87">
        <f>G13+G15+G16</f>
        <v>195623.75</v>
      </c>
    </row>
    <row r="13" spans="1:7" s="32" customFormat="1" ht="149.25" customHeight="1">
      <c r="A13" s="45" t="s">
        <v>46</v>
      </c>
      <c r="B13" s="46" t="s">
        <v>113</v>
      </c>
      <c r="C13" s="47" t="s">
        <v>109</v>
      </c>
      <c r="D13" s="33"/>
      <c r="E13" s="33"/>
      <c r="F13" s="33"/>
      <c r="G13" s="87">
        <f>179265-43792.05-14212.49</f>
        <v>121260.46</v>
      </c>
    </row>
    <row r="14" spans="1:7" s="32" customFormat="1" ht="177.75" customHeight="1">
      <c r="A14" s="38"/>
      <c r="B14" s="148" t="s">
        <v>193</v>
      </c>
      <c r="C14" s="146"/>
      <c r="D14" s="33"/>
      <c r="E14" s="33"/>
      <c r="F14" s="33"/>
      <c r="G14" s="87">
        <f>G13</f>
        <v>121260.46</v>
      </c>
    </row>
    <row r="15" spans="1:7" s="32" customFormat="1" ht="25.5" customHeight="1" hidden="1">
      <c r="A15" s="42" t="s">
        <v>73</v>
      </c>
      <c r="B15" s="19" t="s">
        <v>114</v>
      </c>
      <c r="C15" s="146" t="s">
        <v>109</v>
      </c>
      <c r="D15" s="33"/>
      <c r="E15" s="33"/>
      <c r="F15" s="33"/>
      <c r="G15" s="87"/>
    </row>
    <row r="16" spans="1:7" s="32" customFormat="1" ht="25.5" customHeight="1">
      <c r="A16" s="42" t="s">
        <v>277</v>
      </c>
      <c r="B16" s="149" t="s">
        <v>278</v>
      </c>
      <c r="C16" s="146" t="s">
        <v>109</v>
      </c>
      <c r="D16" s="33"/>
      <c r="E16" s="33"/>
      <c r="F16" s="33"/>
      <c r="G16" s="87">
        <v>74363.29</v>
      </c>
    </row>
    <row r="17" spans="1:7" s="32" customFormat="1" ht="25.5" customHeight="1">
      <c r="A17" s="42" t="s">
        <v>187</v>
      </c>
      <c r="B17" s="129" t="s">
        <v>94</v>
      </c>
      <c r="C17" s="146"/>
      <c r="D17" s="33"/>
      <c r="E17" s="33"/>
      <c r="F17" s="33"/>
      <c r="G17" s="87">
        <f>G18</f>
        <v>23598.97</v>
      </c>
    </row>
    <row r="18" spans="1:7" s="32" customFormat="1" ht="34.5" customHeight="1">
      <c r="A18" s="42" t="s">
        <v>84</v>
      </c>
      <c r="B18" s="19" t="s">
        <v>85</v>
      </c>
      <c r="C18" s="146" t="s">
        <v>109</v>
      </c>
      <c r="D18" s="33"/>
      <c r="E18" s="33"/>
      <c r="F18" s="33"/>
      <c r="G18" s="87">
        <v>23598.97</v>
      </c>
    </row>
    <row r="19" spans="1:7" s="32" customFormat="1" ht="25.5" customHeight="1">
      <c r="A19" s="33"/>
      <c r="B19" s="33" t="s">
        <v>17</v>
      </c>
      <c r="C19" s="33"/>
      <c r="D19" s="33"/>
      <c r="E19" s="33"/>
      <c r="F19" s="33"/>
      <c r="G19" s="34">
        <f>G10+G12+G17</f>
        <v>509581.39</v>
      </c>
    </row>
  </sheetData>
  <sheetProtection/>
  <mergeCells count="10">
    <mergeCell ref="E1:F1"/>
    <mergeCell ref="E2:G2"/>
    <mergeCell ref="E3:G3"/>
    <mergeCell ref="E4:I4"/>
    <mergeCell ref="G8:G9"/>
    <mergeCell ref="A5:G5"/>
    <mergeCell ref="C8:C9"/>
    <mergeCell ref="D8:D9"/>
    <mergeCell ref="E8:E9"/>
    <mergeCell ref="F8:F9"/>
  </mergeCells>
  <printOptions/>
  <pageMargins left="0.7874015748031497" right="0.7874015748031497" top="1.1811023622047245" bottom="0.3937007874015748" header="0.5118110236220472" footer="0.43"/>
  <pageSetup horizontalDpi="600" verticalDpi="600" orientation="landscape" paperSize="9" scale="58" r:id="rId1"/>
</worksheet>
</file>

<file path=xl/worksheets/sheet7.xml><?xml version="1.0" encoding="utf-8"?>
<worksheet xmlns="http://schemas.openxmlformats.org/spreadsheetml/2006/main" xmlns:r="http://schemas.openxmlformats.org/officeDocument/2006/relationships">
  <dimension ref="A1:I43"/>
  <sheetViews>
    <sheetView tabSelected="1" view="pageBreakPreview" zoomScale="50" zoomScaleNormal="50" zoomScaleSheetLayoutView="50" zoomScalePageLayoutView="0" workbookViewId="0" topLeftCell="A1">
      <selection activeCell="A6" sqref="A6:G6"/>
    </sheetView>
  </sheetViews>
  <sheetFormatPr defaultColWidth="9.00390625" defaultRowHeight="12.75"/>
  <cols>
    <col min="1" max="1" width="16.00390625" style="9" customWidth="1"/>
    <col min="2" max="2" width="65.75390625" style="9" customWidth="1"/>
    <col min="3" max="3" width="63.375" style="9" customWidth="1"/>
    <col min="4" max="4" width="18.875" style="9" customWidth="1"/>
    <col min="5" max="5" width="59.75390625" style="9" customWidth="1"/>
    <col min="6" max="6" width="17.00390625" style="9" customWidth="1"/>
    <col min="7" max="7" width="19.75390625" style="9" customWidth="1"/>
    <col min="8" max="8" width="9.125" style="9" hidden="1" customWidth="1"/>
    <col min="9" max="16384" width="9.125" style="9" customWidth="1"/>
  </cols>
  <sheetData>
    <row r="1" spans="5:8" ht="19.5">
      <c r="E1" s="25" t="s">
        <v>313</v>
      </c>
      <c r="F1" s="25"/>
      <c r="G1" s="25"/>
      <c r="H1" s="25"/>
    </row>
    <row r="2" spans="5:8" ht="19.5">
      <c r="E2" s="85" t="s">
        <v>195</v>
      </c>
      <c r="F2" s="85"/>
      <c r="G2" s="85"/>
      <c r="H2" s="85"/>
    </row>
    <row r="3" spans="5:8" ht="19.5">
      <c r="E3" s="25" t="s">
        <v>196</v>
      </c>
      <c r="F3" s="25"/>
      <c r="G3" s="25"/>
      <c r="H3" s="25"/>
    </row>
    <row r="4" spans="5:9" ht="19.5">
      <c r="E4" s="180" t="s">
        <v>316</v>
      </c>
      <c r="F4" s="180"/>
      <c r="G4" s="180"/>
      <c r="H4" s="180"/>
      <c r="I4" s="180"/>
    </row>
    <row r="5" spans="5:8" ht="19.5">
      <c r="E5" s="25"/>
      <c r="F5" s="25"/>
      <c r="G5" s="24"/>
      <c r="H5" s="24"/>
    </row>
    <row r="6" spans="1:8" ht="45" customHeight="1">
      <c r="A6" s="166" t="s">
        <v>299</v>
      </c>
      <c r="B6" s="166"/>
      <c r="C6" s="166"/>
      <c r="D6" s="166"/>
      <c r="E6" s="166"/>
      <c r="F6" s="166"/>
      <c r="G6" s="166"/>
      <c r="H6" s="24"/>
    </row>
    <row r="7" spans="7:8" ht="19.5">
      <c r="G7" s="26" t="s">
        <v>32</v>
      </c>
      <c r="H7" s="25"/>
    </row>
    <row r="8" spans="1:7" ht="90" customHeight="1">
      <c r="A8" s="2" t="s">
        <v>20</v>
      </c>
      <c r="B8" s="5" t="s">
        <v>97</v>
      </c>
      <c r="C8" s="160" t="s">
        <v>14</v>
      </c>
      <c r="D8" s="160"/>
      <c r="E8" s="160" t="s">
        <v>15</v>
      </c>
      <c r="F8" s="160"/>
      <c r="G8" s="5" t="s">
        <v>17</v>
      </c>
    </row>
    <row r="9" spans="1:7" ht="104.25" customHeight="1">
      <c r="A9" s="2" t="s">
        <v>0</v>
      </c>
      <c r="B9" s="5" t="s">
        <v>1</v>
      </c>
      <c r="C9" s="5" t="s">
        <v>27</v>
      </c>
      <c r="D9" s="5" t="s">
        <v>28</v>
      </c>
      <c r="E9" s="5" t="s">
        <v>27</v>
      </c>
      <c r="F9" s="5" t="s">
        <v>28</v>
      </c>
      <c r="G9" s="5" t="s">
        <v>28</v>
      </c>
    </row>
    <row r="10" spans="1:7" s="32" customFormat="1" ht="56.25" customHeight="1">
      <c r="A10" s="42" t="s">
        <v>185</v>
      </c>
      <c r="B10" s="43" t="s">
        <v>90</v>
      </c>
      <c r="C10" s="37" t="s">
        <v>305</v>
      </c>
      <c r="D10" s="87">
        <f>D11</f>
        <v>240774</v>
      </c>
      <c r="E10" s="88"/>
      <c r="F10" s="87">
        <v>0</v>
      </c>
      <c r="G10" s="89">
        <f>D10+F10</f>
        <v>240774</v>
      </c>
    </row>
    <row r="11" spans="1:7" s="32" customFormat="1" ht="28.5" customHeight="1">
      <c r="A11" s="42" t="s">
        <v>64</v>
      </c>
      <c r="B11" s="43" t="s">
        <v>65</v>
      </c>
      <c r="C11" s="33"/>
      <c r="D11" s="89">
        <f>109350+131424</f>
        <v>240774</v>
      </c>
      <c r="E11" s="89"/>
      <c r="F11" s="89">
        <v>0</v>
      </c>
      <c r="G11" s="89">
        <f>D11+F11</f>
        <v>240774</v>
      </c>
    </row>
    <row r="12" s="32" customFormat="1" ht="16.5" hidden="1"/>
    <row r="13" s="32" customFormat="1" ht="16.5" hidden="1"/>
    <row r="14" s="32" customFormat="1" ht="16.5" hidden="1"/>
    <row r="15" spans="1:7" s="32" customFormat="1" ht="54" customHeight="1">
      <c r="A15" s="38" t="s">
        <v>186</v>
      </c>
      <c r="B15" s="39" t="s">
        <v>92</v>
      </c>
      <c r="C15" s="37" t="s">
        <v>306</v>
      </c>
      <c r="D15" s="89">
        <f>D16+D17+D18</f>
        <v>148181</v>
      </c>
      <c r="E15" s="89"/>
      <c r="F15" s="89">
        <v>0</v>
      </c>
      <c r="G15" s="89">
        <f aca="true" t="shared" si="0" ref="G15:G21">D15+F15</f>
        <v>148181</v>
      </c>
    </row>
    <row r="16" spans="1:7" s="32" customFormat="1" ht="24" customHeight="1">
      <c r="A16" s="42" t="s">
        <v>64</v>
      </c>
      <c r="B16" s="43" t="s">
        <v>65</v>
      </c>
      <c r="C16" s="33"/>
      <c r="D16" s="89">
        <f>114181+34000</f>
        <v>148181</v>
      </c>
      <c r="E16" s="89"/>
      <c r="F16" s="89">
        <v>0</v>
      </c>
      <c r="G16" s="89">
        <f t="shared" si="0"/>
        <v>148181</v>
      </c>
    </row>
    <row r="17" spans="1:7" s="32" customFormat="1" ht="95.25" customHeight="1" hidden="1">
      <c r="A17" s="42" t="s">
        <v>115</v>
      </c>
      <c r="B17" s="43" t="s">
        <v>116</v>
      </c>
      <c r="C17" s="33"/>
      <c r="D17" s="89"/>
      <c r="E17" s="89"/>
      <c r="F17" s="89">
        <v>0</v>
      </c>
      <c r="G17" s="89">
        <f t="shared" si="0"/>
        <v>0</v>
      </c>
    </row>
    <row r="18" spans="1:7" s="32" customFormat="1" ht="21" customHeight="1" hidden="1">
      <c r="A18" s="42" t="s">
        <v>287</v>
      </c>
      <c r="B18" s="149" t="s">
        <v>288</v>
      </c>
      <c r="C18" s="33"/>
      <c r="D18" s="89"/>
      <c r="E18" s="89"/>
      <c r="F18" s="89">
        <v>0</v>
      </c>
      <c r="G18" s="89">
        <f t="shared" si="0"/>
        <v>0</v>
      </c>
    </row>
    <row r="19" spans="1:7" s="32" customFormat="1" ht="84.75" customHeight="1">
      <c r="A19" s="42" t="s">
        <v>185</v>
      </c>
      <c r="B19" s="43" t="s">
        <v>90</v>
      </c>
      <c r="C19" s="37" t="s">
        <v>303</v>
      </c>
      <c r="D19" s="87">
        <f>D20</f>
        <v>24700</v>
      </c>
      <c r="E19" s="89"/>
      <c r="F19" s="89">
        <v>0</v>
      </c>
      <c r="G19" s="89">
        <f t="shared" si="0"/>
        <v>24700</v>
      </c>
    </row>
    <row r="20" spans="1:7" s="32" customFormat="1" ht="23.25" customHeight="1">
      <c r="A20" s="42" t="s">
        <v>66</v>
      </c>
      <c r="B20" s="43" t="s">
        <v>112</v>
      </c>
      <c r="C20" s="33"/>
      <c r="D20" s="87">
        <v>24700</v>
      </c>
      <c r="E20" s="88"/>
      <c r="F20" s="87">
        <v>0</v>
      </c>
      <c r="G20" s="89">
        <f t="shared" si="0"/>
        <v>24700</v>
      </c>
    </row>
    <row r="21" spans="1:7" s="32" customFormat="1" ht="56.25" customHeight="1">
      <c r="A21" s="42" t="s">
        <v>185</v>
      </c>
      <c r="B21" s="43" t="s">
        <v>90</v>
      </c>
      <c r="C21" s="37" t="s">
        <v>304</v>
      </c>
      <c r="D21" s="87">
        <f>SUM(D22:D25)</f>
        <v>46122</v>
      </c>
      <c r="E21" s="88"/>
      <c r="F21" s="87">
        <v>0</v>
      </c>
      <c r="G21" s="89">
        <f t="shared" si="0"/>
        <v>46122</v>
      </c>
    </row>
    <row r="22" spans="1:7" s="32" customFormat="1" ht="29.25" customHeight="1">
      <c r="A22" s="42" t="s">
        <v>66</v>
      </c>
      <c r="B22" s="43" t="s">
        <v>112</v>
      </c>
      <c r="C22" s="37"/>
      <c r="D22" s="87">
        <v>10000</v>
      </c>
      <c r="E22" s="88"/>
      <c r="F22" s="87"/>
      <c r="G22" s="89"/>
    </row>
    <row r="23" spans="1:7" s="32" customFormat="1" ht="33.75" customHeight="1">
      <c r="A23" s="42" t="s">
        <v>67</v>
      </c>
      <c r="B23" s="43" t="s">
        <v>68</v>
      </c>
      <c r="C23" s="33"/>
      <c r="D23" s="89">
        <f>6200+1572</f>
        <v>7772</v>
      </c>
      <c r="E23" s="89"/>
      <c r="F23" s="89">
        <v>0</v>
      </c>
      <c r="G23" s="89">
        <f aca="true" t="shared" si="1" ref="G23:G31">D23+F23</f>
        <v>7772</v>
      </c>
    </row>
    <row r="24" spans="1:7" s="32" customFormat="1" ht="58.5" customHeight="1">
      <c r="A24" s="42" t="s">
        <v>69</v>
      </c>
      <c r="B24" s="43" t="s">
        <v>70</v>
      </c>
      <c r="C24" s="43"/>
      <c r="D24" s="87">
        <f>4200+1150</f>
        <v>5350</v>
      </c>
      <c r="E24" s="88"/>
      <c r="F24" s="87">
        <v>0</v>
      </c>
      <c r="G24" s="89">
        <f t="shared" si="1"/>
        <v>5350</v>
      </c>
    </row>
    <row r="25" spans="1:7" s="32" customFormat="1" ht="44.25" customHeight="1">
      <c r="A25" s="42" t="s">
        <v>71</v>
      </c>
      <c r="B25" s="43" t="s">
        <v>72</v>
      </c>
      <c r="C25" s="43"/>
      <c r="D25" s="87">
        <f>13000+10000</f>
        <v>23000</v>
      </c>
      <c r="E25" s="88"/>
      <c r="F25" s="87">
        <v>0</v>
      </c>
      <c r="G25" s="89">
        <f t="shared" si="1"/>
        <v>23000</v>
      </c>
    </row>
    <row r="26" spans="1:7" s="32" customFormat="1" ht="67.5" customHeight="1">
      <c r="A26" s="42" t="s">
        <v>185</v>
      </c>
      <c r="B26" s="43" t="s">
        <v>90</v>
      </c>
      <c r="C26" s="37" t="s">
        <v>301</v>
      </c>
      <c r="D26" s="87">
        <f>D27</f>
        <v>70300</v>
      </c>
      <c r="E26" s="88"/>
      <c r="F26" s="87">
        <v>0</v>
      </c>
      <c r="G26" s="89">
        <f t="shared" si="1"/>
        <v>70300</v>
      </c>
    </row>
    <row r="27" spans="1:7" s="32" customFormat="1" ht="35.25" customHeight="1">
      <c r="A27" s="40" t="s">
        <v>78</v>
      </c>
      <c r="B27" s="41" t="s">
        <v>79</v>
      </c>
      <c r="C27" s="33"/>
      <c r="D27" s="90">
        <f>52300+28000-10000</f>
        <v>70300</v>
      </c>
      <c r="E27" s="89"/>
      <c r="F27" s="89">
        <v>0</v>
      </c>
      <c r="G27" s="89">
        <f t="shared" si="1"/>
        <v>70300</v>
      </c>
    </row>
    <row r="28" spans="1:7" s="32" customFormat="1" ht="67.5" customHeight="1">
      <c r="A28" s="42" t="s">
        <v>185</v>
      </c>
      <c r="B28" s="43" t="s">
        <v>90</v>
      </c>
      <c r="C28" s="37" t="s">
        <v>302</v>
      </c>
      <c r="D28" s="89">
        <f>D29</f>
        <v>20550</v>
      </c>
      <c r="E28" s="89"/>
      <c r="F28" s="89">
        <v>0</v>
      </c>
      <c r="G28" s="89">
        <f t="shared" si="1"/>
        <v>20550</v>
      </c>
    </row>
    <row r="29" spans="1:7" s="32" customFormat="1" ht="33.75" customHeight="1">
      <c r="A29" s="42" t="s">
        <v>82</v>
      </c>
      <c r="B29" s="41" t="s">
        <v>83</v>
      </c>
      <c r="C29" s="33"/>
      <c r="D29" s="89">
        <f>16100+4450</f>
        <v>20550</v>
      </c>
      <c r="E29" s="89"/>
      <c r="F29" s="89">
        <v>0</v>
      </c>
      <c r="G29" s="89">
        <f t="shared" si="1"/>
        <v>20550</v>
      </c>
    </row>
    <row r="30" spans="1:7" s="32" customFormat="1" ht="48.75" customHeight="1">
      <c r="A30" s="42" t="s">
        <v>185</v>
      </c>
      <c r="B30" s="43" t="s">
        <v>90</v>
      </c>
      <c r="C30" s="90" t="s">
        <v>307</v>
      </c>
      <c r="D30" s="89">
        <f>D31</f>
        <v>3000</v>
      </c>
      <c r="F30" s="89">
        <f>F31</f>
        <v>0</v>
      </c>
      <c r="G30" s="89">
        <f t="shared" si="1"/>
        <v>3000</v>
      </c>
    </row>
    <row r="31" spans="1:7" s="32" customFormat="1" ht="25.5" customHeight="1">
      <c r="A31" s="42" t="s">
        <v>274</v>
      </c>
      <c r="B31" s="149" t="s">
        <v>275</v>
      </c>
      <c r="C31" s="33"/>
      <c r="D31" s="89">
        <v>3000</v>
      </c>
      <c r="E31" s="89"/>
      <c r="F31" s="89">
        <v>0</v>
      </c>
      <c r="G31" s="89">
        <f t="shared" si="1"/>
        <v>3000</v>
      </c>
    </row>
    <row r="32" spans="1:7" s="32" customFormat="1" ht="33.75" customHeight="1">
      <c r="A32" s="42"/>
      <c r="B32" s="41"/>
      <c r="C32" s="33"/>
      <c r="D32" s="89"/>
      <c r="E32" s="89" t="s">
        <v>300</v>
      </c>
      <c r="F32" s="89">
        <f>F33+F35+F40</f>
        <v>509581.39</v>
      </c>
      <c r="G32" s="89">
        <f aca="true" t="shared" si="2" ref="G32:G42">D32+F32</f>
        <v>509581.39</v>
      </c>
    </row>
    <row r="33" spans="1:7" s="32" customFormat="1" ht="42.75" customHeight="1">
      <c r="A33" s="42" t="s">
        <v>185</v>
      </c>
      <c r="B33" s="43" t="s">
        <v>90</v>
      </c>
      <c r="C33" s="33"/>
      <c r="D33" s="89">
        <v>0</v>
      </c>
      <c r="F33" s="89">
        <f>F34</f>
        <v>290358.67</v>
      </c>
      <c r="G33" s="89">
        <f t="shared" si="2"/>
        <v>290358.67</v>
      </c>
    </row>
    <row r="34" spans="1:7" s="32" customFormat="1" ht="18.75" customHeight="1">
      <c r="A34" s="42" t="s">
        <v>35</v>
      </c>
      <c r="B34" s="19" t="s">
        <v>91</v>
      </c>
      <c r="C34" s="33"/>
      <c r="D34" s="89">
        <v>0</v>
      </c>
      <c r="E34" s="89"/>
      <c r="F34" s="89">
        <f>200000+90358.67</f>
        <v>290358.67</v>
      </c>
      <c r="G34" s="89">
        <f t="shared" si="2"/>
        <v>290358.67</v>
      </c>
    </row>
    <row r="35" spans="1:7" s="32" customFormat="1" ht="50.25" customHeight="1">
      <c r="A35" s="38" t="s">
        <v>186</v>
      </c>
      <c r="B35" s="44" t="s">
        <v>92</v>
      </c>
      <c r="C35" s="33"/>
      <c r="D35" s="87">
        <v>0</v>
      </c>
      <c r="E35" s="89"/>
      <c r="F35" s="87">
        <f>F36+F38+F39</f>
        <v>195623.75</v>
      </c>
      <c r="G35" s="89">
        <f t="shared" si="2"/>
        <v>195623.75</v>
      </c>
    </row>
    <row r="36" spans="1:7" s="32" customFormat="1" ht="248.25" customHeight="1">
      <c r="A36" s="45" t="s">
        <v>46</v>
      </c>
      <c r="B36" s="46" t="s">
        <v>113</v>
      </c>
      <c r="C36" s="33"/>
      <c r="D36" s="87">
        <v>0</v>
      </c>
      <c r="E36" s="88"/>
      <c r="F36" s="87">
        <f>179265-43792.05-14212.49</f>
        <v>121260.46</v>
      </c>
      <c r="G36" s="89">
        <f t="shared" si="2"/>
        <v>121260.46</v>
      </c>
    </row>
    <row r="37" spans="1:7" s="32" customFormat="1" ht="319.5" customHeight="1">
      <c r="A37" s="38"/>
      <c r="B37" s="148" t="s">
        <v>193</v>
      </c>
      <c r="C37" s="33"/>
      <c r="D37" s="87">
        <v>0</v>
      </c>
      <c r="E37" s="88"/>
      <c r="F37" s="87">
        <f>F36</f>
        <v>121260.46</v>
      </c>
      <c r="G37" s="89">
        <f t="shared" si="2"/>
        <v>121260.46</v>
      </c>
    </row>
    <row r="38" spans="1:7" s="32" customFormat="1" ht="38.25" customHeight="1" hidden="1">
      <c r="A38" s="42" t="s">
        <v>73</v>
      </c>
      <c r="B38" s="19" t="s">
        <v>114</v>
      </c>
      <c r="C38" s="33"/>
      <c r="D38" s="87">
        <v>0</v>
      </c>
      <c r="E38" s="88"/>
      <c r="F38" s="87"/>
      <c r="G38" s="89">
        <f t="shared" si="2"/>
        <v>0</v>
      </c>
    </row>
    <row r="39" spans="1:7" s="32" customFormat="1" ht="38.25" customHeight="1">
      <c r="A39" s="42" t="s">
        <v>277</v>
      </c>
      <c r="B39" s="149" t="s">
        <v>278</v>
      </c>
      <c r="C39" s="33"/>
      <c r="D39" s="87">
        <v>0</v>
      </c>
      <c r="E39" s="89"/>
      <c r="F39" s="87">
        <v>74363.29</v>
      </c>
      <c r="G39" s="89">
        <f t="shared" si="2"/>
        <v>74363.29</v>
      </c>
    </row>
    <row r="40" spans="1:7" s="32" customFormat="1" ht="39.75" customHeight="1">
      <c r="A40" s="42" t="s">
        <v>187</v>
      </c>
      <c r="B40" s="129" t="s">
        <v>94</v>
      </c>
      <c r="C40" s="33"/>
      <c r="D40" s="87">
        <v>0</v>
      </c>
      <c r="E40" s="89"/>
      <c r="F40" s="87">
        <f>F41</f>
        <v>23598.97</v>
      </c>
      <c r="G40" s="89">
        <f t="shared" si="2"/>
        <v>23598.97</v>
      </c>
    </row>
    <row r="41" spans="1:7" s="32" customFormat="1" ht="33.75" customHeight="1">
      <c r="A41" s="42" t="s">
        <v>84</v>
      </c>
      <c r="B41" s="19" t="s">
        <v>85</v>
      </c>
      <c r="C41" s="33"/>
      <c r="D41" s="87">
        <v>0</v>
      </c>
      <c r="E41" s="88"/>
      <c r="F41" s="87">
        <v>23598.97</v>
      </c>
      <c r="G41" s="89">
        <f t="shared" si="2"/>
        <v>23598.97</v>
      </c>
    </row>
    <row r="42" spans="1:7" s="32" customFormat="1" ht="22.5" customHeight="1">
      <c r="A42" s="33"/>
      <c r="B42" s="47" t="s">
        <v>98</v>
      </c>
      <c r="C42" s="33"/>
      <c r="D42" s="87">
        <f>D10+D15+D19+D21+D26+D28+D30</f>
        <v>553627</v>
      </c>
      <c r="E42" s="87"/>
      <c r="F42" s="87">
        <f>F33+F35+F40</f>
        <v>509581.39</v>
      </c>
      <c r="G42" s="89">
        <f t="shared" si="2"/>
        <v>1063208.3900000001</v>
      </c>
    </row>
    <row r="43" spans="1:7" ht="16.5">
      <c r="A43" s="32"/>
      <c r="B43" s="32"/>
      <c r="C43" s="32"/>
      <c r="D43" s="32"/>
      <c r="E43" s="32"/>
      <c r="F43" s="48"/>
      <c r="G43" s="48"/>
    </row>
  </sheetData>
  <sheetProtection/>
  <mergeCells count="4">
    <mergeCell ref="C8:D8"/>
    <mergeCell ref="E8:F8"/>
    <mergeCell ref="A6:G6"/>
    <mergeCell ref="E4:I4"/>
  </mergeCells>
  <printOptions/>
  <pageMargins left="0.7874015748031497" right="0.7086614173228347" top="1.1811023622047245" bottom="0.3937007874015748" header="0.5118110236220472" footer="0.3937007874015748"/>
  <pageSetup horizontalDpi="600" verticalDpi="600" orientation="landscape" paperSize="9" scale="48" r:id="rId1"/>
  <rowBreaks count="1" manualBreakCount="1">
    <brk id="2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Soul</dc:creator>
  <cp:keywords/>
  <dc:description/>
  <cp:lastModifiedBy>Admin</cp:lastModifiedBy>
  <cp:lastPrinted>2014-12-24T10:17:54Z</cp:lastPrinted>
  <dcterms:created xsi:type="dcterms:W3CDTF">2010-12-20T13:34:17Z</dcterms:created>
  <dcterms:modified xsi:type="dcterms:W3CDTF">2015-01-12T11:45:42Z</dcterms:modified>
  <cp:category/>
  <cp:version/>
  <cp:contentType/>
  <cp:contentStatus/>
</cp:coreProperties>
</file>